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095" tabRatio="881" firstSheet="11" activeTab="2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11" sheetId="24" r:id="rId24"/>
    <sheet name="12"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2">'07'!$A$1:$T$73</definedName>
    <definedName name="_xlnm.Print_Area" localSheetId="23">'11'!$A$1:$U$28</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10">'bieu lay so lieu bc viet'!$6:$11</definedName>
    <definedName name="TCTD" localSheetId="23">#REF!</definedName>
    <definedName name="TCTD" localSheetId="2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19.xml><?xml version="1.0" encoding="utf-8"?>
<comments xmlns="http://schemas.openxmlformats.org/spreadsheetml/2006/main">
  <authors>
    <author>User</author>
  </authors>
  <commentList>
    <comment ref="U15" authorId="0">
      <text>
        <r>
          <rPr>
            <b/>
            <sz val="9"/>
            <rFont val="Tahoma"/>
            <family val="2"/>
          </rPr>
          <t>User:</t>
        </r>
        <r>
          <rPr>
            <sz val="9"/>
            <rFont val="Tahoma"/>
            <family val="2"/>
          </rPr>
          <t xml:space="preserve">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5.xml><?xml version="1.0" encoding="utf-8"?>
<comments xmlns="http://schemas.openxmlformats.org/spreadsheetml/2006/main">
  <authors>
    <author>GiadinhBaCuc</author>
  </authors>
  <commentList>
    <comment ref="A1" authorId="0">
      <text>
        <r>
          <rPr>
            <b/>
            <sz val="9"/>
            <rFont val="Tahoma"/>
            <family val="2"/>
          </rPr>
          <t>GiadinhBaCuc:</t>
        </r>
        <r>
          <rPr>
            <sz val="9"/>
            <rFont val="Tahoma"/>
            <family val="2"/>
          </rPr>
          <t xml:space="preserve">
12. Biểu mẫu số 12/TK-THA
12.1. Nội dung
Phản ánh tình hình tố cáo và giải quyết tố cáo về thi hành án dân sự trong các kỳ báo cáo của Chi cục Thi hành án dân sự, Cục Thi hành án dân sự.
12.2. Tổ chức, cá nhân sử dụng biểu mẫu
Biểu mẫu này dùng cho Chi cục Thi hành án dân sự và Cục Thi hành án dân sự.
12.3. Ghi chép và nguồn số liệu
Số liệu được lấy từ hồ sơ thi hành án, hồ sơ giải quyết tố cáo, các sổ liên quan đến việc giải quyết tố cáo của Chi cục Thi hành án dân sự và Cục Thi hành án dân sự. 
Việc ghi chép, thực hiện tương tự Biểu mẫu số 08/TK-THA. Riêng việc tính toán: Cột 1 = Cột 2 + Cột 3; Cột 4 = Cột 5 + Cột 6; Cột 7 = Cột 8 + Cột 9; Cột 10 = Cột 11 + Cột 12 + Cột 13; Cột 14 = Cột 15 + Cột 16 + Cột 17 + Cột 18 + Cột 19.
</t>
        </r>
      </text>
    </commen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<sst xmlns="http://schemas.openxmlformats.org/spreadsheetml/2006/main" count="4357" uniqueCount="732">
  <si>
    <t>I</t>
  </si>
  <si>
    <t>II</t>
  </si>
  <si>
    <t xml:space="preserve">Tổng số
</t>
  </si>
  <si>
    <t>Số việc</t>
  </si>
  <si>
    <t>NGƯỜI LẬP BIỂU</t>
  </si>
  <si>
    <t xml:space="preserve">A
</t>
  </si>
  <si>
    <t>A</t>
  </si>
  <si>
    <t>Chia ra:</t>
  </si>
  <si>
    <t>Đơn vị tính: Việc</t>
  </si>
  <si>
    <t>III</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</si>
  <si>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</si>
  <si>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</si>
  <si>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</si>
  <si>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</si>
  <si>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</si>
  <si>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</si>
  <si>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</si>
  <si>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</si>
  <si>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</si>
  <si>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</si>
  <si>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</si>
  <si>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</si>
  <si>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</si>
  <si>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</si>
  <si>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</si>
  <si>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</si>
  <si>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</si>
  <si>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</si>
  <si>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</si>
  <si>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</si>
  <si>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</si>
  <si>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</si>
  <si>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</si>
  <si>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</si>
  <si>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</si>
  <si>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</si>
  <si>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</si>
  <si>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</si>
  <si>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</si>
  <si>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</si>
  <si>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</si>
  <si>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</si>
  <si>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</si>
  <si>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</si>
  <si>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</si>
  <si>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</si>
  <si>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</si>
  <si>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</si>
  <si>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</si>
  <si>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</si>
  <si>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</si>
  <si>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</si>
  <si>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</si>
  <si>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</si>
  <si>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</si>
  <si>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</si>
  <si>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</si>
  <si>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</si>
  <si>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</si>
  <si>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</si>
  <si>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</si>
  <si>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</si>
  <si>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</si>
  <si>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</si>
  <si>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</si>
  <si>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</si>
  <si>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</si>
  <si>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</si>
  <si>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</si>
  <si>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</si>
  <si>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</si>
  <si>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</si>
  <si>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</si>
  <si>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</si>
  <si>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</si>
  <si>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</si>
  <si>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</si>
  <si>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</si>
  <si>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</si>
  <si>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</si>
  <si>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</si>
  <si>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</si>
  <si>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</si>
  <si>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</si>
  <si>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</si>
  <si>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</si>
  <si>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</si>
  <si>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</si>
  <si>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</si>
  <si>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</si>
  <si>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</si>
  <si>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</si>
  <si>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</si>
  <si>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</si>
  <si>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</si>
  <si>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</si>
  <si>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</si>
  <si>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</si>
  <si>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</si>
  <si>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</si>
  <si>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</si>
  <si>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</si>
  <si>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</si>
  <si>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</si>
  <si>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</si>
  <si>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</si>
  <si>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</si>
  <si>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</si>
  <si>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</si>
  <si>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</si>
  <si>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</si>
  <si>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</si>
  <si>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</si>
  <si>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</si>
  <si>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</si>
  <si>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</si>
  <si>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</si>
  <si>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</si>
  <si>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</si>
  <si>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</si>
  <si>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</si>
  <si>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</si>
  <si>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</si>
  <si>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</si>
  <si>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</si>
  <si>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</si>
  <si>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</si>
  <si>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</si>
  <si>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</si>
  <si>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</si>
  <si>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</si>
  <si>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</si>
  <si>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</si>
  <si>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</si>
  <si>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</si>
  <si>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</si>
  <si>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</si>
  <si>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</si>
  <si>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</si>
  <si>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</si>
  <si>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</si>
  <si>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</si>
  <si>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</si>
  <si>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</si>
  <si>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</si>
  <si>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</si>
  <si>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</si>
  <si>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</si>
  <si>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</si>
  <si>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</si>
  <si>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</si>
  <si>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</si>
  <si>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</si>
  <si>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</si>
  <si>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</si>
  <si>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</si>
  <si>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</si>
  <si>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</si>
  <si>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</si>
  <si>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</si>
  <si>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</si>
  <si>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</si>
  <si>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</si>
  <si>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</si>
  <si>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</si>
  <si>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</si>
  <si>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</si>
  <si>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</si>
  <si>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</si>
  <si>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</si>
  <si>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</si>
  <si>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</si>
  <si>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</si>
  <si>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</si>
  <si>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</si>
  <si>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</si>
  <si>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</si>
  <si>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</si>
  <si>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</si>
  <si>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</si>
  <si>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</si>
  <si>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</si>
  <si>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</si>
  <si>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</si>
  <si>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</si>
  <si>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</si>
  <si>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</si>
  <si>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</si>
  <si>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</si>
  <si>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</si>
  <si>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</si>
  <si>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</si>
  <si>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</si>
  <si>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</si>
  <si>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</si>
  <si>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</si>
  <si>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</si>
  <si>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</si>
  <si>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</si>
  <si>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</si>
  <si>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</si>
  <si>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</si>
  <si>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</si>
  <si>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</si>
  <si>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</si>
  <si>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</si>
  <si>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</si>
  <si>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</si>
  <si>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</si>
  <si>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</si>
  <si>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</si>
  <si>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</si>
  <si>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</si>
  <si>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</si>
  <si>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</si>
  <si>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</si>
  <si>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</si>
  <si>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</si>
  <si>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</si>
  <si>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</si>
  <si>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</si>
  <si>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</si>
  <si>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</si>
  <si>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</si>
  <si>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</si>
  <si>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</si>
  <si>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</si>
  <si>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</si>
  <si>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</si>
  <si>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</si>
  <si>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</si>
  <si>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</si>
  <si>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</si>
  <si>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</si>
  <si>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</si>
  <si>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</si>
  <si>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</si>
  <si>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</si>
  <si>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</si>
  <si>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</si>
  <si>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</si>
  <si>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</si>
  <si>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</si>
  <si>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</si>
  <si>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</si>
  <si>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</si>
  <si>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</si>
  <si>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</si>
  <si>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</si>
  <si>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</si>
  <si>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</si>
  <si>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</si>
  <si>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</si>
  <si>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</si>
  <si>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</si>
  <si>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</si>
  <si>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</si>
  <si>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</si>
  <si>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</si>
  <si>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</si>
  <si>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</si>
  <si>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</si>
  <si>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</si>
  <si>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</si>
  <si>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</si>
  <si>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</si>
  <si>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</si>
  <si>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</si>
  <si>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</si>
  <si>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</si>
  <si>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</si>
  <si>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</si>
  <si>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</si>
  <si>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</si>
  <si>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</si>
  <si>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</si>
  <si>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</si>
  <si>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</si>
  <si>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</si>
  <si>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</si>
  <si>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</si>
  <si>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</si>
  <si>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</si>
  <si>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</si>
  <si>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</si>
  <si>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</si>
  <si>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</si>
  <si>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</si>
  <si>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</si>
  <si>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</si>
  <si>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</si>
  <si>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</si>
  <si>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</si>
  <si>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</si>
  <si>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</si>
  <si>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</si>
  <si>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</si>
  <si>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</si>
  <si>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</si>
  <si>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</si>
  <si>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</si>
  <si>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</si>
  <si>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</si>
  <si>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</si>
  <si>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</si>
  <si>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</si>
  <si>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</si>
  <si>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</si>
  <si>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</si>
  <si>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</si>
  <si>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</si>
  <si>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</si>
  <si>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</si>
  <si>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</si>
  <si>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</si>
  <si>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</si>
  <si>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</si>
  <si>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</si>
  <si>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</si>
  <si>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</si>
  <si>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</si>
  <si>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</si>
  <si>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</si>
  <si>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</si>
  <si>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</si>
  <si>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</si>
  <si>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</si>
  <si>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</si>
  <si>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</si>
  <si>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</si>
  <si>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</si>
  <si>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</si>
  <si>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</si>
  <si>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</si>
  <si>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</si>
  <si>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</si>
  <si>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</si>
  <si>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</si>
  <si>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</si>
  <si>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</si>
  <si>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</si>
  <si>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</si>
  <si>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</si>
  <si>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</si>
  <si>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</si>
  <si>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</si>
  <si>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</si>
  <si>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</si>
  <si>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</si>
  <si>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</si>
  <si>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</si>
  <si>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</si>
  <si>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</si>
  <si>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</si>
  <si>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</si>
  <si>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</si>
  <si>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</si>
  <si>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</si>
  <si>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</si>
  <si>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</si>
  <si>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</si>
  <si>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</si>
  <si>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</si>
  <si>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</si>
  <si>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</si>
  <si>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</si>
  <si>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</si>
  <si>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</si>
  <si>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</si>
  <si>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</si>
  <si>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</si>
  <si>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</si>
  <si>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</si>
  <si>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</si>
  <si>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</si>
  <si>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</si>
  <si>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</si>
  <si>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</si>
  <si>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</si>
  <si>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</si>
  <si>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</si>
  <si>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</si>
  <si>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</si>
  <si>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</si>
  <si>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</si>
  <si>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</si>
  <si>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</si>
  <si>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</si>
  <si>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</si>
  <si>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</si>
  <si>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</si>
  <si>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</si>
  <si>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</si>
  <si>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</si>
  <si>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</si>
  <si>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</si>
  <si>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</si>
  <si>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</si>
  <si>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</si>
  <si>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</si>
  <si>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</si>
  <si>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</si>
  <si>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</si>
  <si>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</si>
  <si>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</si>
  <si>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</si>
  <si>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</si>
  <si>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</si>
  <si>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</si>
  <si>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</si>
  <si>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</si>
  <si>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</si>
  <si>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</si>
  <si>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</si>
  <si>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</si>
  <si>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</si>
  <si>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</si>
  <si>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</si>
  <si>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</si>
  <si>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</si>
  <si>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</si>
  <si>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</si>
  <si>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</si>
  <si>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</si>
  <si>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</si>
  <si>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</si>
  <si>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</si>
  <si>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</si>
  <si>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</si>
  <si>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</si>
  <si>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</si>
  <si>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</si>
  <si>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</si>
  <si>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</si>
  <si>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</si>
  <si>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</si>
  <si>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</si>
  <si>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</si>
  <si>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</si>
  <si>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</si>
  <si>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</si>
  <si>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</si>
  <si>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</si>
  <si>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</si>
  <si>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</si>
  <si>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</si>
  <si>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</si>
  <si>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</si>
  <si>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</si>
  <si>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</si>
  <si>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</si>
  <si>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</si>
  <si>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</si>
  <si>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</si>
  <si>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</si>
  <si>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</si>
  <si>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</si>
  <si>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</si>
  <si>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</si>
  <si>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</si>
  <si>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</si>
  <si>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</si>
  <si>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</si>
  <si>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</si>
  <si>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</si>
  <si>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</si>
  <si>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</si>
  <si>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</si>
  <si>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</si>
  <si>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</si>
  <si>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</si>
  <si>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</si>
  <si>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</si>
  <si>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</si>
  <si>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</si>
  <si>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</si>
  <si>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</si>
  <si>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</si>
  <si>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</si>
  <si>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</si>
  <si>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</si>
  <si>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</si>
  <si>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</si>
  <si>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</si>
  <si>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</si>
  <si>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</si>
  <si>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</si>
  <si>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</si>
  <si>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</si>
  <si>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</si>
  <si>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</si>
  <si>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</si>
  <si>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</si>
  <si>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</si>
  <si>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</si>
  <si>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</si>
  <si>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</si>
  <si>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</si>
  <si>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t>
  </si>
  <si>
    <t>B 3+B4</t>
  </si>
  <si>
    <t>B 7</t>
  </si>
  <si>
    <t>CHÊNH  B5 và B7</t>
  </si>
  <si>
    <t>CHÊNH  B3 + B4 và B 5</t>
  </si>
  <si>
    <t>THÀNH PHỐ</t>
  </si>
  <si>
    <t>CỤC TRƯỞNG</t>
  </si>
  <si>
    <t>TOÀN TỈNH</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</si>
  <si>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</si>
  <si>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</si>
  <si>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</si>
  <si>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</si>
  <si>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</si>
  <si>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</si>
  <si>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</si>
  <si>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</si>
  <si>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</si>
  <si>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</si>
  <si>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</si>
  <si>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</si>
  <si>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</si>
  <si>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</si>
  <si>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</si>
  <si>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</si>
  <si>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</si>
  <si>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</si>
  <si>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</si>
  <si>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</si>
  <si>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</si>
  <si>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</si>
  <si>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</si>
  <si>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</si>
  <si>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</si>
  <si>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</si>
  <si>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</si>
  <si>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</si>
  <si>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</si>
  <si>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</si>
  <si>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</si>
  <si>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</si>
  <si>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</si>
  <si>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</si>
  <si>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</si>
  <si>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</si>
  <si>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</si>
  <si>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</si>
  <si>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</si>
  <si>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</si>
  <si>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</si>
  <si>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</si>
  <si>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</si>
  <si>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</si>
  <si>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</si>
  <si>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</si>
  <si>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</si>
  <si>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</si>
  <si>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</si>
  <si>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</si>
  <si>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</si>
  <si>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</si>
  <si>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</si>
  <si>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</si>
  <si>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</si>
  <si>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</si>
  <si>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</si>
  <si>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</si>
  <si>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</si>
  <si>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</si>
  <si>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</si>
  <si>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xml:space="preserve"> Biểu số: 11/TK-THA</t>
  </si>
  <si>
    <t>KHIẾU NẠI VÀ GIẢI QUYẾT KHIẾU NẠI TRONG THI HÀNH ÁN DÂN SỰ</t>
  </si>
  <si>
    <t xml:space="preserve"> Ngày nhận báo cáo:</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</si>
  <si>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</si>
  <si>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</si>
  <si>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</si>
  <si>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</si>
  <si>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</si>
  <si>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</si>
  <si>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</si>
  <si>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</si>
  <si>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</si>
  <si>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</si>
  <si>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</si>
  <si>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</si>
  <si>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</si>
  <si>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</si>
  <si>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</si>
  <si>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</si>
  <si>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</si>
  <si>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</si>
  <si>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</si>
  <si>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</si>
  <si>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</si>
  <si>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</si>
  <si>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</si>
  <si>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</si>
  <si>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</si>
  <si>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</si>
  <si>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</si>
  <si>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 xml:space="preserve"> Biểu số: 12/TK-THA</t>
  </si>
  <si>
    <t>TỐ CÁO VÀ GIẢI QUYẾT TỐ CÁO TRONG THI HÀNH ÁN DÂN SỰ</t>
  </si>
  <si>
    <t xml:space="preserve"> Ngày nhận báo cáo: </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</si>
  <si>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</si>
  <si>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</si>
  <si>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</si>
  <si>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</si>
  <si>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</si>
  <si>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</si>
  <si>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</si>
  <si>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</si>
  <si>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</si>
  <si>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</si>
  <si>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</si>
  <si>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</si>
  <si>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</si>
  <si>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</si>
  <si>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</si>
  <si>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</si>
  <si>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</si>
  <si>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</si>
  <si>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</si>
  <si>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</si>
  <si>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</si>
  <si>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</si>
  <si>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</si>
  <si>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</si>
  <si>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</si>
  <si>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</si>
  <si>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Số đình chỉ
</t>
  </si>
  <si>
    <r>
      <t xml:space="preserve">Đơn vị nhận báo cáo: </t>
    </r>
    <r>
      <rPr>
        <b/>
        <sz val="12"/>
        <rFont val="Times New Roman"/>
        <family val="1"/>
      </rPr>
      <t>Tổng cục THADS</t>
    </r>
  </si>
  <si>
    <t>Trần Kim Sơn</t>
  </si>
  <si>
    <t>Nguyễn Ngọc Đắc</t>
  </si>
  <si>
    <t>Hoàng Quang Hà</t>
  </si>
  <si>
    <t>Ứng Anh Tuấn</t>
  </si>
  <si>
    <t>Phạm Thị Linh Điệp</t>
  </si>
  <si>
    <t>Triệu Thu Hằng</t>
  </si>
  <si>
    <t>Hoàng Anh Tuấn</t>
  </si>
  <si>
    <t>Phan Thị Mai Thảo</t>
  </si>
  <si>
    <t xml:space="preserve">Hoàng Quang Hà </t>
  </si>
  <si>
    <t>Chi cục THADS thành phố Tuyên Quang</t>
  </si>
  <si>
    <t>Cao Trọng Thủy</t>
  </si>
  <si>
    <t xml:space="preserve">Đỗ Hồng Thuỷ </t>
  </si>
  <si>
    <t xml:space="preserve">Đỗ Quý Cường </t>
  </si>
  <si>
    <t xml:space="preserve">Hoàng Đức Úy </t>
  </si>
  <si>
    <t>Nguyễn Đức Tiến</t>
  </si>
  <si>
    <t>Nguyễn Quang Huy</t>
  </si>
  <si>
    <t>Chi cục THADS H. Yên Sơn</t>
  </si>
  <si>
    <t xml:space="preserve"> Trần Xí Nghiệp</t>
  </si>
  <si>
    <t xml:space="preserve"> Vũ Hồng Quân</t>
  </si>
  <si>
    <t xml:space="preserve"> Lương Hồ Điệp</t>
  </si>
  <si>
    <t xml:space="preserve"> Đào Đức Hải</t>
  </si>
  <si>
    <t xml:space="preserve">Trần Quang Hưng </t>
  </si>
  <si>
    <t>Ma Đình Thành</t>
  </si>
  <si>
    <t>Hoàng Thị Hoa</t>
  </si>
  <si>
    <t>Triệu Văn Toán</t>
  </si>
  <si>
    <t>Lê Xuân Giang</t>
  </si>
  <si>
    <t>Nông Văn Thăng</t>
  </si>
  <si>
    <t>Chi cục THADS H. Hàm Yên</t>
  </si>
  <si>
    <t>Bàn Văn Thịnh</t>
  </si>
  <si>
    <t>Hà Duy Hiển</t>
  </si>
  <si>
    <t>Chi cục THADS H. Chiêm Hóa</t>
  </si>
  <si>
    <t>Trần Hữu Cường</t>
  </si>
  <si>
    <t>Lâm Văn Chiến</t>
  </si>
  <si>
    <t>Phạm Đức Thắng</t>
  </si>
  <si>
    <t>Trần Quang Quân</t>
  </si>
  <si>
    <t>Chi cục THADS H. Nà Hang</t>
  </si>
  <si>
    <t>Trương Thành Thủy</t>
  </si>
  <si>
    <t>Dương Minh Khánh</t>
  </si>
  <si>
    <t>Chi cục THADS H. Lâm Bình</t>
  </si>
  <si>
    <t xml:space="preserve"> Nguyễn Thanh Bình</t>
  </si>
  <si>
    <t xml:space="preserve"> Nguyễn Thanh Hải</t>
  </si>
  <si>
    <t>Chi cục THADS H. Sơn Dương</t>
  </si>
  <si>
    <t>Cục THADS</t>
  </si>
  <si>
    <t>Chi cục THADS TP</t>
  </si>
  <si>
    <t>Trần Anh Huy</t>
  </si>
  <si>
    <t>Trần Quang Hưng</t>
  </si>
  <si>
    <t>Chi cục Thi hành án thành phố</t>
  </si>
  <si>
    <t>Chi cục Thi hành án huyện Yên Sơn</t>
  </si>
  <si>
    <t>Chi cục Thi hành án Sơn Dương</t>
  </si>
  <si>
    <t>Chi cục Thi hành án Hàm Yên</t>
  </si>
  <si>
    <t>Chi cục Thi hành án Chiêm Hóa</t>
  </si>
  <si>
    <t>Chi cục Thi hành án Na Hang</t>
  </si>
  <si>
    <t>Chi cục Thi hành án Lâm Bình</t>
  </si>
  <si>
    <t xml:space="preserve">Nguyễn Tuyên </t>
  </si>
  <si>
    <t xml:space="preserve"> Ban hành kèm theo TT số: 08/2015/TT-BTP</t>
  </si>
  <si>
    <t xml:space="preserve">   KẾT QUẢ THI HÀNH ÁN DÂN SỰ TÍNH BẰNG TIÊN</t>
  </si>
  <si>
    <t xml:space="preserve">Tỉnh Tuyên Quang </t>
  </si>
  <si>
    <t>Cục THADS tỉnh Tuyên Quang</t>
  </si>
  <si>
    <t xml:space="preserve">Nguyễn Văn Quế </t>
  </si>
  <si>
    <t xml:space="preserve">Nguyễn văn Quế </t>
  </si>
  <si>
    <t>Duy Thị Thúy</t>
  </si>
  <si>
    <t>CỤC</t>
  </si>
  <si>
    <t>YEN SON</t>
  </si>
  <si>
    <t>SƠN DUONG</t>
  </si>
  <si>
    <t>HÀM YÊN</t>
  </si>
  <si>
    <t>CHIÊM HÓA</t>
  </si>
  <si>
    <t>NA HANG</t>
  </si>
  <si>
    <t>Lâm Bình</t>
  </si>
  <si>
    <t>YÊN SƠN</t>
  </si>
  <si>
    <t>SON DUONG</t>
  </si>
  <si>
    <t xml:space="preserve">HAM YÊN </t>
  </si>
  <si>
    <t>CHIEM HÓA</t>
  </si>
  <si>
    <t>Cục</t>
  </si>
  <si>
    <t>Thành phố</t>
  </si>
  <si>
    <t>Yên Sơn</t>
  </si>
  <si>
    <t>Hàm yên</t>
  </si>
  <si>
    <t>Sơn duong</t>
  </si>
  <si>
    <t>Chiêm hóa</t>
  </si>
  <si>
    <t>Na hang</t>
  </si>
  <si>
    <t>Yên Son</t>
  </si>
  <si>
    <t>Hàm Yên</t>
  </si>
  <si>
    <t>Na Hang</t>
  </si>
  <si>
    <t xml:space="preserve">Thành phố </t>
  </si>
  <si>
    <t>Yên sơn</t>
  </si>
  <si>
    <r>
      <t xml:space="preserve">Đơn vị nhận báo cáo: </t>
    </r>
    <r>
      <rPr>
        <b/>
        <sz val="9"/>
        <rFont val="Times New Roman"/>
        <family val="1"/>
      </rPr>
      <t>Tổng cục</t>
    </r>
  </si>
  <si>
    <t>TP</t>
  </si>
  <si>
    <t>Hà Ích Đạt</t>
  </si>
  <si>
    <t>Nguyễn Hồng Nghị</t>
  </si>
  <si>
    <t>Nguyễn Thị  Dương Hồng</t>
  </si>
  <si>
    <t>Hoàng Đức Úy</t>
  </si>
  <si>
    <t>Nhập Chiêm Hóa trước</t>
  </si>
  <si>
    <t>tp</t>
  </si>
  <si>
    <t>Các chi Cục thành phố</t>
  </si>
  <si>
    <t>Tên chỉ tiêu</t>
  </si>
  <si>
    <t>12 tháng năm 2017</t>
  </si>
  <si>
    <t>03 tháng / năm 2018</t>
  </si>
  <si>
    <t>Tuyên Quang, ngày 05 tháng 01 năm 2018</t>
  </si>
  <si>
    <t>Đỗ Thị Hồng Huệ</t>
  </si>
  <si>
    <t>Hoàng Phương Hoa</t>
  </si>
  <si>
    <t>Nguyễn T Dương Hồng</t>
  </si>
  <si>
    <t>Đỗ Minh Hanh</t>
  </si>
  <si>
    <t>Đỗ Minh Hạnh</t>
  </si>
  <si>
    <r>
      <t>Tỷ lệ % =</t>
    </r>
    <r>
      <rPr>
        <sz val="11"/>
        <rFont val="Times New Roman"/>
        <family val="1"/>
      </rPr>
      <t xml:space="preserve"> (Xong+đình chỉ + giảm)/Có điều kiện *100%</t>
    </r>
  </si>
  <si>
    <r>
      <t>Tỷ lệ % =</t>
    </r>
    <r>
      <rPr>
        <sz val="11"/>
        <rFont val="Times New Roman"/>
        <family val="1"/>
      </rPr>
      <t xml:space="preserve"> (Xong+đình chỉ)/Có điều kiện *100%</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</si>
</sst>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Red]#,##0"/>
    <numFmt numFmtId="174" formatCode="#,##0_ ;[Red]\-#,##0\ "/>
  </numFmts>
  <fonts count="157">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b/>
      <sz val="11"/>
      <color indexed="8"/>
      <name val="Times New Roman"/>
      <family val="1"/>
    </font>
    <font>
      <sz val="12"/>
      <color indexed="13"/>
      <name val=".VnTime"/>
      <family val="2"/>
    </font>
    <font>
      <b/>
      <sz val="10"/>
      <color indexed="12"/>
      <name val="Times New Roman"/>
      <family val="1"/>
    </font>
    <font>
      <b/>
      <sz val="10"/>
      <color indexed="53"/>
      <name val="Times New Roman"/>
      <family val="1"/>
    </font>
    <font>
      <sz val="11"/>
      <color indexed="8"/>
      <name val="Times New Roman"/>
      <family val="1"/>
    </font>
    <font>
      <sz val="9"/>
      <color indexed="12"/>
      <name val="Times New Roman"/>
      <family val="1"/>
    </font>
    <font>
      <sz val="11"/>
      <color indexed="10"/>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2"/>
    </font>
    <font>
      <sz val="8"/>
      <color indexed="8"/>
      <name val=".VnHelvetInsH"/>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VnTime"/>
      <family val="2"/>
    </font>
    <font>
      <sz val="12"/>
      <color rgb="FFFF0000"/>
      <name val="Times New Roman"/>
      <family val="1"/>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7999799847602844"/>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indexed="9"/>
        <bgColor indexed="64"/>
      </patternFill>
    </fill>
    <fill>
      <patternFill patternType="solid">
        <fgColor indexed="4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double"/>
      <right style="thin"/>
      <top style="thin"/>
      <bottom style="thin"/>
    </border>
    <border>
      <left style="thin"/>
      <right style="thin"/>
      <top>
        <color indexed="63"/>
      </top>
      <bottom>
        <color indexed="63"/>
      </bottom>
    </border>
    <border>
      <left>
        <color indexed="63"/>
      </left>
      <right>
        <color indexed="63"/>
      </right>
      <top style="double"/>
      <bottom>
        <color indexed="63"/>
      </bottom>
    </border>
    <border>
      <left>
        <color indexed="63"/>
      </left>
      <right>
        <color indexed="63"/>
      </right>
      <top style="thin"/>
      <bottom style="thin"/>
    </border>
    <border>
      <left>
        <color indexed="63"/>
      </left>
      <right style="thin"/>
      <top>
        <color indexed="63"/>
      </top>
      <bottom>
        <color indexed="63"/>
      </bottom>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thin"/>
      <right style="double"/>
      <top style="double"/>
      <bottom style="thin"/>
    </border>
    <border>
      <left style="thin"/>
      <right style="thin"/>
      <top style="double"/>
      <bottom style="thin"/>
    </border>
    <border>
      <left style="double"/>
      <right style="thin"/>
      <top style="double"/>
      <bottom style="thin"/>
    </border>
    <border>
      <left>
        <color indexed="63"/>
      </left>
      <right>
        <color indexed="63"/>
      </right>
      <top>
        <color indexed="63"/>
      </top>
      <bottom style="double"/>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8"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138"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138"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38"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38"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38"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138"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138"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138"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138" fillId="1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38" fillId="16"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138"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139"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39" fillId="21"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39"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39"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39"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39"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139" fillId="2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39" fillId="28"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139" fillId="30"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139" fillId="3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39" fillId="3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39" fillId="34"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140" fillId="36"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141" fillId="37" borderId="1" applyNumberFormat="0" applyAlignment="0" applyProtection="0"/>
    <xf numFmtId="0" fontId="44" fillId="38" borderId="2" applyNumberFormat="0" applyAlignment="0" applyProtection="0"/>
    <xf numFmtId="0" fontId="44"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2" fillId="39" borderId="3" applyNumberFormat="0" applyAlignment="0" applyProtection="0"/>
    <xf numFmtId="0" fontId="45" fillId="40" borderId="4" applyNumberFormat="0" applyAlignment="0" applyProtection="0"/>
    <xf numFmtId="0" fontId="45" fillId="40" borderId="4" applyNumberFormat="0" applyAlignment="0" applyProtection="0"/>
    <xf numFmtId="0" fontId="14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144" fillId="41"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145" fillId="0" borderId="5"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146" fillId="0" borderId="7"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147" fillId="0" borderId="9"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14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148" fillId="42" borderId="1" applyNumberFormat="0" applyAlignment="0" applyProtection="0"/>
    <xf numFmtId="0" fontId="51" fillId="9" borderId="2" applyNumberFormat="0" applyAlignment="0" applyProtection="0"/>
    <xf numFmtId="0" fontId="51" fillId="9" borderId="2" applyNumberFormat="0" applyAlignment="0" applyProtection="0"/>
    <xf numFmtId="0" fontId="149" fillId="0" borderId="11"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150" fillId="43"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45" borderId="13" applyNumberFormat="0" applyFont="0" applyAlignment="0" applyProtection="0"/>
    <xf numFmtId="0" fontId="41" fillId="46" borderId="14" applyNumberFormat="0" applyFont="0" applyAlignment="0" applyProtection="0"/>
    <xf numFmtId="0" fontId="41" fillId="46" borderId="14" applyNumberFormat="0" applyFont="0" applyAlignment="0" applyProtection="0"/>
    <xf numFmtId="0" fontId="151" fillId="37" borderId="15" applyNumberFormat="0" applyAlignment="0" applyProtection="0"/>
    <xf numFmtId="0" fontId="54" fillId="38" borderId="16" applyNumberFormat="0" applyAlignment="0" applyProtection="0"/>
    <xf numFmtId="0" fontId="54"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52"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53" fillId="0" borderId="17"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154"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cellStyleXfs>
  <cellXfs count="1475">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3" applyNumberFormat="1" applyFont="1" applyBorder="1" applyAlignment="1">
      <alignment vertical="center"/>
    </xf>
    <xf numFmtId="49" fontId="14" fillId="0" borderId="19" xfId="93"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20" fillId="0" borderId="0" xfId="136" applyNumberFormat="1" applyFont="1" applyAlignment="1">
      <alignment/>
      <protection/>
    </xf>
    <xf numFmtId="49" fontId="0" fillId="0" borderId="0" xfId="136" applyNumberFormat="1" applyFont="1" applyBorder="1" applyAlignment="1">
      <alignment horizontal="left" wrapText="1"/>
      <protection/>
    </xf>
    <xf numFmtId="49" fontId="23"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8" fillId="47" borderId="22" xfId="136" applyNumberFormat="1" applyFont="1" applyFill="1" applyBorder="1" applyAlignment="1">
      <alignment/>
      <protection/>
    </xf>
    <xf numFmtId="49" fontId="12" fillId="0" borderId="20" xfId="136" applyNumberFormat="1" applyFont="1" applyFill="1" applyBorder="1" applyAlignment="1">
      <alignment horizontal="center" vertical="center" wrapText="1"/>
      <protection/>
    </xf>
    <xf numFmtId="49" fontId="58" fillId="48" borderId="20" xfId="136" applyNumberFormat="1" applyFont="1" applyFill="1" applyBorder="1" applyAlignment="1">
      <alignment horizontal="center"/>
      <protection/>
    </xf>
    <xf numFmtId="49" fontId="12" fillId="0" borderId="21" xfId="136" applyNumberFormat="1" applyFont="1" applyFill="1" applyBorder="1" applyAlignment="1">
      <alignment horizontal="center" vertical="center" wrapText="1"/>
      <protection/>
    </xf>
    <xf numFmtId="49" fontId="12" fillId="0" borderId="20" xfId="136" applyNumberFormat="1" applyFont="1" applyBorder="1" applyAlignment="1">
      <alignment horizontal="center" vertical="center" wrapText="1"/>
      <protection/>
    </xf>
    <xf numFmtId="49" fontId="59" fillId="0" borderId="20" xfId="136" applyNumberFormat="1" applyFont="1" applyFill="1" applyBorder="1" applyAlignment="1">
      <alignment horizontal="center" vertical="center" wrapText="1"/>
      <protection/>
    </xf>
    <xf numFmtId="49" fontId="23"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7" fillId="3" borderId="20" xfId="136" applyNumberFormat="1" applyFont="1" applyFill="1" applyBorder="1" applyAlignment="1">
      <alignment vertical="center"/>
      <protection/>
    </xf>
    <xf numFmtId="3" fontId="62" fillId="3" borderId="20" xfId="136" applyNumberFormat="1" applyFont="1" applyFill="1" applyBorder="1" applyAlignment="1">
      <alignment vertical="center"/>
      <protection/>
    </xf>
    <xf numFmtId="49" fontId="63" fillId="0" borderId="20" xfId="136" applyNumberFormat="1" applyFont="1" applyBorder="1" applyAlignment="1">
      <alignment horizontal="center" vertical="center"/>
      <protection/>
    </xf>
    <xf numFmtId="3" fontId="30" fillId="44" borderId="20" xfId="136" applyNumberFormat="1" applyFont="1" applyFill="1" applyBorder="1" applyAlignment="1">
      <alignment vertical="center"/>
      <protection/>
    </xf>
    <xf numFmtId="3" fontId="7" fillId="48" borderId="20" xfId="136" applyNumberFormat="1" applyFont="1" applyFill="1" applyBorder="1" applyAlignment="1">
      <alignment horizontal="center" vertical="center"/>
      <protection/>
    </xf>
    <xf numFmtId="3" fontId="7" fillId="48" borderId="20" xfId="136" applyNumberFormat="1" applyFont="1" applyFill="1" applyBorder="1" applyAlignment="1">
      <alignment vertical="center"/>
      <protection/>
    </xf>
    <xf numFmtId="49" fontId="12" fillId="44" borderId="20" xfId="136" applyNumberFormat="1" applyFont="1" applyFill="1" applyBorder="1" applyAlignment="1">
      <alignment horizontal="center" vertical="center"/>
      <protection/>
    </xf>
    <xf numFmtId="49" fontId="12" fillId="44" borderId="20" xfId="136" applyNumberFormat="1" applyFont="1" applyFill="1" applyBorder="1" applyAlignment="1">
      <alignment horizontal="left" vertical="center"/>
      <protection/>
    </xf>
    <xf numFmtId="3" fontId="34" fillId="48" borderId="20" xfId="136" applyNumberFormat="1" applyFont="1" applyFill="1" applyBorder="1" applyAlignment="1">
      <alignment vertical="center"/>
      <protection/>
    </xf>
    <xf numFmtId="3" fontId="34" fillId="0" borderId="20" xfId="136" applyNumberFormat="1" applyFont="1" applyFill="1" applyBorder="1" applyAlignment="1">
      <alignment vertical="center"/>
      <protection/>
    </xf>
    <xf numFmtId="9" fontId="0" fillId="0" borderId="0" xfId="148" applyFont="1" applyAlignment="1">
      <alignment vertical="center"/>
    </xf>
    <xf numFmtId="49" fontId="12" fillId="44" borderId="23" xfId="136" applyNumberFormat="1" applyFont="1" applyFill="1" applyBorder="1" applyAlignment="1">
      <alignment horizontal="center" vertical="center"/>
      <protection/>
    </xf>
    <xf numFmtId="3" fontId="30" fillId="44" borderId="20" xfId="136" applyNumberFormat="1" applyFont="1" applyFill="1" applyBorder="1" applyAlignment="1">
      <alignment vertical="center"/>
      <protection/>
    </xf>
    <xf numFmtId="49" fontId="8" fillId="0" borderId="20" xfId="136" applyNumberFormat="1" applyFont="1" applyBorder="1" applyAlignment="1">
      <alignment horizontal="center" vertical="center"/>
      <protection/>
    </xf>
    <xf numFmtId="49" fontId="8" fillId="47" borderId="20" xfId="136" applyNumberFormat="1" applyFont="1" applyFill="1" applyBorder="1" applyAlignment="1">
      <alignment horizontal="left" vertical="center"/>
      <protection/>
    </xf>
    <xf numFmtId="49" fontId="10" fillId="47" borderId="20" xfId="136" applyNumberFormat="1" applyFont="1" applyFill="1" applyBorder="1" applyAlignment="1">
      <alignment horizontal="left" vertical="center"/>
      <protection/>
    </xf>
    <xf numFmtId="3" fontId="34" fillId="0" borderId="20" xfId="139" applyNumberFormat="1" applyFont="1" applyFill="1" applyBorder="1" applyAlignment="1">
      <alignment vertical="center"/>
      <protection/>
    </xf>
    <xf numFmtId="49" fontId="25" fillId="0" borderId="0" xfId="136" applyNumberFormat="1" applyFont="1" applyAlignment="1">
      <alignment vertical="center"/>
      <protection/>
    </xf>
    <xf numFmtId="49" fontId="8" fillId="47" borderId="20" xfId="136" applyNumberFormat="1" applyFont="1" applyFill="1" applyBorder="1" applyAlignment="1">
      <alignment horizontal="left" vertical="center"/>
      <protection/>
    </xf>
    <xf numFmtId="3" fontId="34" fillId="0" borderId="20" xfId="139" applyNumberFormat="1" applyFont="1" applyFill="1" applyBorder="1" applyAlignment="1">
      <alignment horizontal="center" vertical="center"/>
      <protection/>
    </xf>
    <xf numFmtId="49" fontId="0" fillId="0" borderId="0" xfId="136" applyNumberFormat="1" applyFill="1">
      <alignment/>
      <protection/>
    </xf>
    <xf numFmtId="49" fontId="25" fillId="0" borderId="0" xfId="136" applyNumberFormat="1" applyFont="1">
      <alignment/>
      <protection/>
    </xf>
    <xf numFmtId="49" fontId="34" fillId="0" borderId="0" xfId="136" applyNumberFormat="1" applyFont="1" applyFill="1" applyBorder="1" applyAlignment="1">
      <alignment horizontal="center" wrapText="1"/>
      <protection/>
    </xf>
    <xf numFmtId="49" fontId="64" fillId="0" borderId="0" xfId="136" applyNumberFormat="1" applyFont="1" applyBorder="1">
      <alignment/>
      <protection/>
    </xf>
    <xf numFmtId="49" fontId="65" fillId="0" borderId="0" xfId="136" applyNumberFormat="1" applyFont="1">
      <alignment/>
      <protection/>
    </xf>
    <xf numFmtId="49" fontId="1" fillId="0" borderId="0" xfId="136" applyNumberFormat="1" applyFont="1">
      <alignment/>
      <protection/>
    </xf>
    <xf numFmtId="9" fontId="1" fillId="0" borderId="0" xfId="148" applyFont="1" applyAlignment="1">
      <alignment/>
    </xf>
    <xf numFmtId="49" fontId="66" fillId="0" borderId="0" xfId="136" applyNumberFormat="1" applyFont="1" applyBorder="1">
      <alignment/>
      <protection/>
    </xf>
    <xf numFmtId="49" fontId="30" fillId="0" borderId="0" xfId="136" applyNumberFormat="1" applyFont="1" applyBorder="1" applyAlignment="1">
      <alignment horizontal="center" wrapText="1"/>
      <protection/>
    </xf>
    <xf numFmtId="49" fontId="30" fillId="0" borderId="0" xfId="136" applyNumberFormat="1" applyFont="1" applyFill="1" applyBorder="1" applyAlignment="1">
      <alignment horizontal="center" wrapText="1"/>
      <protection/>
    </xf>
    <xf numFmtId="49" fontId="67" fillId="0" borderId="0" xfId="136" applyNumberFormat="1" applyFont="1" applyBorder="1">
      <alignment/>
      <protection/>
    </xf>
    <xf numFmtId="49" fontId="68" fillId="0" borderId="0" xfId="136" applyNumberFormat="1" applyFont="1" applyBorder="1" applyAlignment="1">
      <alignment wrapText="1"/>
      <protection/>
    </xf>
    <xf numFmtId="49" fontId="6" fillId="0" borderId="0" xfId="136" applyNumberFormat="1" applyFont="1" applyBorder="1">
      <alignment/>
      <protection/>
    </xf>
    <xf numFmtId="49" fontId="45" fillId="0" borderId="0" xfId="136" applyNumberFormat="1" applyFont="1" applyBorder="1" applyAlignment="1">
      <alignment horizontal="center" wrapText="1"/>
      <protection/>
    </xf>
    <xf numFmtId="49" fontId="45" fillId="0" borderId="0" xfId="136" applyNumberFormat="1" applyFont="1" applyFill="1" applyBorder="1" applyAlignment="1">
      <alignment horizontal="center" wrapText="1"/>
      <protection/>
    </xf>
    <xf numFmtId="49" fontId="69" fillId="0" borderId="0" xfId="136" applyNumberFormat="1" applyFont="1" applyBorder="1">
      <alignment/>
      <protection/>
    </xf>
    <xf numFmtId="49" fontId="34" fillId="0" borderId="0" xfId="136" applyNumberFormat="1" applyFont="1">
      <alignment/>
      <protection/>
    </xf>
    <xf numFmtId="49" fontId="34" fillId="0" borderId="0" xfId="136" applyNumberFormat="1" applyFont="1" applyFill="1">
      <alignment/>
      <protection/>
    </xf>
    <xf numFmtId="49" fontId="34" fillId="47" borderId="0" xfId="136" applyNumberFormat="1" applyFont="1" applyFill="1">
      <alignment/>
      <protection/>
    </xf>
    <xf numFmtId="0" fontId="30" fillId="0" borderId="0" xfId="136" applyFont="1" applyAlignment="1">
      <alignment horizontal="center"/>
      <protection/>
    </xf>
    <xf numFmtId="49" fontId="30" fillId="47" borderId="0" xfId="136" applyNumberFormat="1" applyFont="1" applyFill="1" applyAlignment="1">
      <alignment horizontal="center"/>
      <protection/>
    </xf>
    <xf numFmtId="0" fontId="71" fillId="0" borderId="0" xfId="136" applyFont="1" applyAlignment="1">
      <alignment/>
      <protection/>
    </xf>
    <xf numFmtId="0" fontId="7" fillId="0" borderId="0" xfId="136" applyFont="1" applyAlignment="1">
      <alignment/>
      <protection/>
    </xf>
    <xf numFmtId="49" fontId="36" fillId="0" borderId="0" xfId="136" applyNumberFormat="1" applyFont="1">
      <alignment/>
      <protection/>
    </xf>
    <xf numFmtId="3" fontId="0" fillId="0" borderId="0" xfId="136" applyNumberFormat="1" applyFont="1" applyFill="1">
      <alignment/>
      <protection/>
    </xf>
    <xf numFmtId="49" fontId="7"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24" fillId="0" borderId="22" xfId="136" applyNumberFormat="1" applyFont="1" applyFill="1" applyBorder="1" applyAlignment="1">
      <alignment/>
      <protection/>
    </xf>
    <xf numFmtId="49" fontId="10" fillId="0" borderId="22" xfId="136" applyNumberFormat="1" applyFont="1" applyFill="1" applyBorder="1" applyAlignment="1">
      <alignment horizontal="center"/>
      <protection/>
    </xf>
    <xf numFmtId="49" fontId="0" fillId="0" borderId="0" xfId="136" applyNumberFormat="1" applyFill="1" applyBorder="1">
      <alignment/>
      <protection/>
    </xf>
    <xf numFmtId="49" fontId="11" fillId="0" borderId="20" xfId="136" applyNumberFormat="1" applyFont="1" applyFill="1" applyBorder="1" applyAlignment="1">
      <alignment horizontal="center" vertical="center" wrapText="1"/>
      <protection/>
    </xf>
    <xf numFmtId="49" fontId="24" fillId="0" borderId="20" xfId="136" applyNumberFormat="1" applyFont="1" applyFill="1" applyBorder="1" applyAlignment="1">
      <alignment horizontal="center" vertical="center" wrapText="1"/>
      <protection/>
    </xf>
    <xf numFmtId="3" fontId="35" fillId="3" borderId="20" xfId="136" applyNumberFormat="1" applyFont="1" applyFill="1" applyBorder="1" applyAlignment="1">
      <alignment horizontal="center" vertical="center" wrapText="1"/>
      <protection/>
    </xf>
    <xf numFmtId="3" fontId="74" fillId="3" borderId="20" xfId="136" applyNumberFormat="1" applyFont="1" applyFill="1" applyBorder="1" applyAlignment="1">
      <alignment horizontal="center" vertical="center" wrapText="1"/>
      <protection/>
    </xf>
    <xf numFmtId="3" fontId="11" fillId="44" borderId="20" xfId="136" applyNumberFormat="1" applyFont="1" applyFill="1" applyBorder="1" applyAlignment="1">
      <alignment horizontal="center" vertical="center" wrapText="1"/>
      <protection/>
    </xf>
    <xf numFmtId="49" fontId="12" fillId="0" borderId="20" xfId="136" applyNumberFormat="1" applyFont="1" applyFill="1" applyBorder="1" applyAlignment="1">
      <alignment horizontal="center"/>
      <protection/>
    </xf>
    <xf numFmtId="49" fontId="12" fillId="0" borderId="20" xfId="136" applyNumberFormat="1" applyFont="1" applyFill="1" applyBorder="1" applyAlignment="1">
      <alignment horizontal="left"/>
      <protection/>
    </xf>
    <xf numFmtId="3" fontId="10" fillId="44" borderId="20" xfId="136" applyNumberFormat="1" applyFont="1" applyFill="1" applyBorder="1" applyAlignment="1">
      <alignment horizontal="center" vertical="center" wrapText="1"/>
      <protection/>
    </xf>
    <xf numFmtId="3" fontId="10" fillId="0" borderId="20" xfId="136" applyNumberFormat="1" applyFont="1" applyFill="1" applyBorder="1" applyAlignment="1">
      <alignment horizontal="center" vertical="center" wrapText="1"/>
      <protection/>
    </xf>
    <xf numFmtId="9" fontId="0" fillId="0" borderId="0" xfId="148" applyFont="1" applyFill="1" applyAlignment="1">
      <alignment/>
    </xf>
    <xf numFmtId="49" fontId="12" fillId="44" borderId="23" xfId="136" applyNumberFormat="1" applyFont="1" applyFill="1" applyBorder="1" applyAlignment="1">
      <alignment horizontal="center"/>
      <protection/>
    </xf>
    <xf numFmtId="49" fontId="12" fillId="44" borderId="20" xfId="136" applyNumberFormat="1" applyFont="1" applyFill="1" applyBorder="1" applyAlignment="1">
      <alignment horizontal="left"/>
      <protection/>
    </xf>
    <xf numFmtId="49" fontId="8" fillId="0" borderId="23" xfId="136" applyNumberFormat="1" applyFont="1" applyFill="1" applyBorder="1" applyAlignment="1">
      <alignment horizontal="center"/>
      <protection/>
    </xf>
    <xf numFmtId="49" fontId="8" fillId="47" borderId="20" xfId="136" applyNumberFormat="1" applyFont="1" applyFill="1" applyBorder="1" applyAlignment="1">
      <alignment horizontal="left"/>
      <protection/>
    </xf>
    <xf numFmtId="3" fontId="10" fillId="47" borderId="20" xfId="136" applyNumberFormat="1" applyFont="1" applyFill="1" applyBorder="1" applyAlignment="1">
      <alignment horizontal="center" vertical="center" wrapText="1"/>
      <protection/>
    </xf>
    <xf numFmtId="49" fontId="10" fillId="47" borderId="20" xfId="136" applyNumberFormat="1" applyFont="1" applyFill="1" applyBorder="1" applyAlignment="1">
      <alignment horizontal="left"/>
      <protection/>
    </xf>
    <xf numFmtId="49" fontId="11" fillId="0" borderId="19" xfId="136" applyNumberFormat="1" applyFont="1" applyFill="1" applyBorder="1" applyAlignment="1">
      <alignment horizontal="center"/>
      <protection/>
    </xf>
    <xf numFmtId="49" fontId="11" fillId="0" borderId="19" xfId="136" applyNumberFormat="1" applyFont="1" applyFill="1" applyBorder="1" applyAlignment="1">
      <alignment horizontal="left"/>
      <protection/>
    </xf>
    <xf numFmtId="3" fontId="10" fillId="0" borderId="19" xfId="136" applyNumberFormat="1" applyFont="1" applyFill="1" applyBorder="1" applyAlignment="1">
      <alignment horizontal="center" vertical="center" wrapText="1"/>
      <protection/>
    </xf>
    <xf numFmtId="49" fontId="20" fillId="0" borderId="0" xfId="136" applyNumberFormat="1" applyFont="1" applyFill="1" applyBorder="1" applyAlignment="1">
      <alignment vertical="center" wrapText="1"/>
      <protection/>
    </xf>
    <xf numFmtId="49" fontId="75" fillId="0" borderId="0" xfId="136" applyNumberFormat="1" applyFont="1" applyFill="1">
      <alignment/>
      <protection/>
    </xf>
    <xf numFmtId="49" fontId="8" fillId="0" borderId="0" xfId="136" applyNumberFormat="1" applyFont="1" applyFill="1">
      <alignment/>
      <protection/>
    </xf>
    <xf numFmtId="49" fontId="0" fillId="47" borderId="0" xfId="136" applyNumberFormat="1" applyFont="1" applyFill="1">
      <alignment/>
      <protection/>
    </xf>
    <xf numFmtId="49" fontId="7" fillId="47" borderId="0" xfId="136" applyNumberFormat="1" applyFont="1" applyFill="1" applyAlignment="1">
      <alignment horizontal="center"/>
      <protection/>
    </xf>
    <xf numFmtId="49" fontId="27" fillId="0" borderId="0" xfId="136" applyNumberFormat="1" applyFont="1" applyFill="1">
      <alignment/>
      <protection/>
    </xf>
    <xf numFmtId="49" fontId="7" fillId="0" borderId="0" xfId="136" applyNumberFormat="1" applyFont="1" applyFill="1">
      <alignment/>
      <protection/>
    </xf>
    <xf numFmtId="49" fontId="18" fillId="0" borderId="0" xfId="136" applyNumberFormat="1" applyFont="1" applyFill="1" applyAlignment="1">
      <alignment/>
      <protection/>
    </xf>
    <xf numFmtId="49" fontId="18" fillId="0" borderId="0" xfId="136" applyNumberFormat="1" applyFont="1" applyFill="1" applyAlignment="1">
      <alignment wrapText="1"/>
      <protection/>
    </xf>
    <xf numFmtId="49" fontId="18"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8" fillId="0" borderId="20" xfId="136" applyNumberFormat="1" applyFont="1" applyBorder="1" applyAlignment="1">
      <alignment horizontal="center"/>
      <protection/>
    </xf>
    <xf numFmtId="3" fontId="8" fillId="4" borderId="20" xfId="139" applyNumberFormat="1" applyFont="1" applyFill="1" applyBorder="1" applyAlignment="1">
      <alignment horizontal="center" vertical="center"/>
      <protection/>
    </xf>
    <xf numFmtId="3" fontId="37" fillId="47" borderId="20" xfId="136" applyNumberFormat="1" applyFont="1" applyFill="1" applyBorder="1" applyAlignment="1">
      <alignment horizontal="center" vertical="center"/>
      <protection/>
    </xf>
    <xf numFmtId="3" fontId="22" fillId="3" borderId="20" xfId="136" applyNumberFormat="1" applyFont="1" applyFill="1" applyBorder="1" applyAlignment="1">
      <alignment horizontal="center" vertical="center"/>
      <protection/>
    </xf>
    <xf numFmtId="3" fontId="39" fillId="3"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 borderId="20" xfId="139" applyNumberFormat="1" applyFont="1" applyFill="1" applyBorder="1" applyAlignment="1">
      <alignment horizontal="center" vertical="center"/>
      <protection/>
    </xf>
    <xf numFmtId="49" fontId="12" fillId="0" borderId="20" xfId="136" applyNumberFormat="1" applyFont="1" applyBorder="1" applyAlignment="1">
      <alignment horizontal="center" vertical="center"/>
      <protection/>
    </xf>
    <xf numFmtId="49" fontId="12" fillId="47" borderId="20" xfId="136" applyNumberFormat="1" applyFont="1" applyFill="1" applyBorder="1" applyAlignment="1">
      <alignment horizontal="left" vertical="center"/>
      <protection/>
    </xf>
    <xf numFmtId="3" fontId="8" fillId="47" borderId="20" xfId="136" applyNumberFormat="1" applyFont="1" applyFill="1" applyBorder="1" applyAlignment="1">
      <alignment horizontal="center" vertical="center"/>
      <protection/>
    </xf>
    <xf numFmtId="3" fontId="8" fillId="44" borderId="20" xfId="136" applyNumberFormat="1" applyFont="1" applyFill="1" applyBorder="1" applyAlignment="1">
      <alignment horizontal="center" vertical="center"/>
      <protection/>
    </xf>
    <xf numFmtId="49" fontId="8"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8" fillId="0" borderId="20" xfId="136" applyNumberFormat="1" applyFont="1" applyFill="1" applyBorder="1" applyAlignment="1">
      <alignment horizontal="center" vertical="center"/>
      <protection/>
    </xf>
    <xf numFmtId="3" fontId="8" fillId="47" borderId="20" xfId="139" applyNumberFormat="1" applyFont="1" applyFill="1" applyBorder="1" applyAlignment="1">
      <alignment horizontal="center" vertical="center"/>
      <protection/>
    </xf>
    <xf numFmtId="49" fontId="8" fillId="47" borderId="23" xfId="136" applyNumberFormat="1" applyFont="1" applyFill="1" applyBorder="1" applyAlignment="1">
      <alignment horizontal="center" vertical="center"/>
      <protection/>
    </xf>
    <xf numFmtId="9" fontId="25" fillId="0" borderId="0" xfId="148" applyFont="1" applyAlignment="1">
      <alignment vertical="center"/>
    </xf>
    <xf numFmtId="49" fontId="8" fillId="0" borderId="0" xfId="136" applyNumberFormat="1" applyFont="1" applyBorder="1" applyAlignment="1">
      <alignment horizontal="center"/>
      <protection/>
    </xf>
    <xf numFmtId="49" fontId="8"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8" fillId="47" borderId="19" xfId="139" applyNumberFormat="1" applyFont="1" applyFill="1" applyBorder="1" applyAlignment="1">
      <alignment horizontal="center" vertical="center"/>
      <protection/>
    </xf>
    <xf numFmtId="9" fontId="0" fillId="0" borderId="0" xfId="148" applyFont="1" applyAlignment="1">
      <alignment/>
    </xf>
    <xf numFmtId="49" fontId="34" fillId="0" borderId="0" xfId="136" applyNumberFormat="1" applyFont="1" applyBorder="1" applyAlignment="1">
      <alignment wrapText="1"/>
      <protection/>
    </xf>
    <xf numFmtId="3" fontId="8" fillId="47" borderId="0" xfId="139" applyNumberFormat="1" applyFont="1" applyFill="1" applyBorder="1" applyAlignment="1">
      <alignment horizontal="center" vertical="center"/>
      <protection/>
    </xf>
    <xf numFmtId="49" fontId="34" fillId="0" borderId="0" xfId="136" applyNumberFormat="1" applyFont="1" applyAlignment="1">
      <alignment wrapText="1"/>
      <protection/>
    </xf>
    <xf numFmtId="49" fontId="42" fillId="0" borderId="0" xfId="136" applyNumberFormat="1" applyFont="1">
      <alignment/>
      <protection/>
    </xf>
    <xf numFmtId="49" fontId="42" fillId="0" borderId="0" xfId="136" applyNumberFormat="1" applyFont="1" applyAlignment="1">
      <alignment wrapText="1"/>
      <protection/>
    </xf>
    <xf numFmtId="49" fontId="7" fillId="47" borderId="0" xfId="136" applyNumberFormat="1" applyFont="1" applyFill="1" applyAlignment="1">
      <alignment/>
      <protection/>
    </xf>
    <xf numFmtId="49" fontId="77" fillId="0" borderId="0" xfId="136" applyNumberFormat="1" applyFont="1">
      <alignment/>
      <protection/>
    </xf>
    <xf numFmtId="49" fontId="18" fillId="0" borderId="0" xfId="136" applyNumberFormat="1" applyFont="1" applyBorder="1" applyAlignment="1">
      <alignment wrapText="1"/>
      <protection/>
    </xf>
    <xf numFmtId="49" fontId="0" fillId="0" borderId="0" xfId="140" applyNumberFormat="1" applyFont="1" applyAlignment="1">
      <alignment horizontal="left"/>
      <protection/>
    </xf>
    <xf numFmtId="49" fontId="19" fillId="0" borderId="0" xfId="140" applyNumberFormat="1" applyFont="1" applyAlignment="1">
      <alignment wrapText="1"/>
      <protection/>
    </xf>
    <xf numFmtId="49" fontId="7" fillId="47" borderId="0" xfId="140" applyNumberFormat="1" applyFont="1" applyFill="1" applyBorder="1" applyAlignment="1">
      <alignment horizontal="left"/>
      <protection/>
    </xf>
    <xf numFmtId="49" fontId="0" fillId="47" borderId="0" xfId="140" applyNumberFormat="1" applyFont="1" applyFill="1" applyBorder="1" applyAlignment="1">
      <alignment horizontal="left"/>
      <protection/>
    </xf>
    <xf numFmtId="49" fontId="32" fillId="0" borderId="0" xfId="140" applyNumberFormat="1" applyFont="1">
      <alignment/>
      <protection/>
    </xf>
    <xf numFmtId="49" fontId="0" fillId="47" borderId="0" xfId="140" applyNumberFormat="1" applyFont="1" applyFill="1" applyBorder="1" applyAlignment="1">
      <alignment/>
      <protection/>
    </xf>
    <xf numFmtId="49" fontId="7" fillId="0" borderId="0" xfId="140" applyNumberFormat="1" applyFont="1" applyBorder="1" applyAlignment="1">
      <alignment horizontal="left"/>
      <protection/>
    </xf>
    <xf numFmtId="49" fontId="0" fillId="0" borderId="0" xfId="140" applyNumberFormat="1" applyFont="1" applyBorder="1" applyAlignment="1">
      <alignment horizontal="left"/>
      <protection/>
    </xf>
    <xf numFmtId="49" fontId="0" fillId="0" borderId="0" xfId="140" applyNumberFormat="1" applyFont="1" applyBorder="1" applyAlignment="1">
      <alignment/>
      <protection/>
    </xf>
    <xf numFmtId="49" fontId="23" fillId="0" borderId="22" xfId="140" applyNumberFormat="1" applyFont="1" applyBorder="1" applyAlignment="1">
      <alignment horizontal="left"/>
      <protection/>
    </xf>
    <xf numFmtId="49" fontId="7" fillId="0" borderId="22" xfId="140" applyNumberFormat="1" applyFont="1" applyBorder="1" applyAlignment="1">
      <alignment horizontal="left"/>
      <protection/>
    </xf>
    <xf numFmtId="49" fontId="32" fillId="0" borderId="0" xfId="140" applyNumberFormat="1" applyFont="1" applyFill="1">
      <alignment/>
      <protection/>
    </xf>
    <xf numFmtId="49" fontId="32" fillId="0" borderId="0" xfId="140" applyNumberFormat="1" applyFont="1" applyAlignment="1">
      <alignment vertical="center"/>
      <protection/>
    </xf>
    <xf numFmtId="49" fontId="11" fillId="47" borderId="20" xfId="140" applyNumberFormat="1" applyFont="1" applyFill="1" applyBorder="1" applyAlignment="1">
      <alignment horizontal="left" vertical="center"/>
      <protection/>
    </xf>
    <xf numFmtId="49" fontId="1" fillId="0" borderId="0" xfId="140" applyNumberFormat="1" applyFont="1">
      <alignment/>
      <protection/>
    </xf>
    <xf numFmtId="49" fontId="34" fillId="0" borderId="0" xfId="140" applyNumberFormat="1" applyFont="1" applyBorder="1" applyAlignment="1">
      <alignment/>
      <protection/>
    </xf>
    <xf numFmtId="49" fontId="84" fillId="0" borderId="0" xfId="140" applyNumberFormat="1" applyFont="1">
      <alignment/>
      <protection/>
    </xf>
    <xf numFmtId="49" fontId="30" fillId="0" borderId="0" xfId="140" applyNumberFormat="1" applyFont="1" applyBorder="1" applyAlignment="1">
      <alignment/>
      <protection/>
    </xf>
    <xf numFmtId="49" fontId="10" fillId="0" borderId="0" xfId="140" applyNumberFormat="1" applyFont="1">
      <alignment/>
      <protection/>
    </xf>
    <xf numFmtId="49" fontId="34" fillId="0" borderId="0" xfId="140" applyNumberFormat="1" applyFont="1" applyAlignment="1">
      <alignment horizontal="center"/>
      <protection/>
    </xf>
    <xf numFmtId="49" fontId="34" fillId="0" borderId="0" xfId="140" applyNumberFormat="1" applyFont="1">
      <alignment/>
      <protection/>
    </xf>
    <xf numFmtId="49" fontId="84" fillId="0" borderId="0" xfId="140" applyNumberFormat="1" applyFont="1" applyAlignment="1">
      <alignment horizontal="center"/>
      <protection/>
    </xf>
    <xf numFmtId="49" fontId="18" fillId="0" borderId="0" xfId="140" applyNumberFormat="1" applyFont="1" applyBorder="1" applyAlignment="1">
      <alignment wrapText="1"/>
      <protection/>
    </xf>
    <xf numFmtId="49" fontId="86" fillId="0" borderId="0" xfId="140" applyNumberFormat="1" applyFont="1">
      <alignment/>
      <protection/>
    </xf>
    <xf numFmtId="9" fontId="32" fillId="0" borderId="0" xfId="148" applyFont="1" applyAlignment="1">
      <alignment/>
    </xf>
    <xf numFmtId="3" fontId="0" fillId="47" borderId="0" xfId="140" applyNumberFormat="1" applyFont="1" applyFill="1" applyBorder="1" applyAlignment="1">
      <alignment/>
      <protection/>
    </xf>
    <xf numFmtId="0" fontId="32" fillId="0" borderId="0" xfId="140">
      <alignment/>
      <protection/>
    </xf>
    <xf numFmtId="0" fontId="0" fillId="0" borderId="0" xfId="140" applyFont="1" applyAlignment="1">
      <alignment horizontal="left"/>
      <protection/>
    </xf>
    <xf numFmtId="0" fontId="0" fillId="0" borderId="0" xfId="140" applyFont="1" applyBorder="1" applyAlignment="1">
      <alignment/>
      <protection/>
    </xf>
    <xf numFmtId="0" fontId="0" fillId="0" borderId="0" xfId="140" applyFont="1" applyBorder="1" applyAlignment="1">
      <alignment horizontal="left"/>
      <protection/>
    </xf>
    <xf numFmtId="0" fontId="32" fillId="0" borderId="0" xfId="140" applyFont="1">
      <alignment/>
      <protection/>
    </xf>
    <xf numFmtId="0" fontId="11" fillId="0" borderId="20" xfId="140" applyFont="1" applyBorder="1" applyAlignment="1">
      <alignment horizontal="center" vertical="center"/>
      <protection/>
    </xf>
    <xf numFmtId="0" fontId="11" fillId="47" borderId="20" xfId="140" applyFont="1" applyFill="1" applyBorder="1" applyAlignment="1">
      <alignment horizontal="left" vertical="center"/>
      <protection/>
    </xf>
    <xf numFmtId="9" fontId="32" fillId="0" borderId="0" xfId="148" applyFont="1" applyAlignment="1">
      <alignment vertical="center"/>
    </xf>
    <xf numFmtId="0" fontId="10" fillId="0" borderId="23" xfId="140" applyFont="1" applyBorder="1" applyAlignment="1">
      <alignment horizontal="center" vertical="center"/>
      <protection/>
    </xf>
    <xf numFmtId="0" fontId="32" fillId="0" borderId="0" xfId="140" applyFont="1" applyAlignment="1">
      <alignment vertical="center"/>
      <protection/>
    </xf>
    <xf numFmtId="0" fontId="1" fillId="0" borderId="0" xfId="140" applyFont="1">
      <alignment/>
      <protection/>
    </xf>
    <xf numFmtId="0" fontId="30" fillId="0" borderId="0" xfId="140" applyFont="1" applyBorder="1" applyAlignment="1">
      <alignment horizontal="center" wrapText="1"/>
      <protection/>
    </xf>
    <xf numFmtId="0" fontId="34" fillId="0" borderId="0" xfId="140" applyFont="1" applyBorder="1" applyAlignment="1">
      <alignment wrapText="1"/>
      <protection/>
    </xf>
    <xf numFmtId="0" fontId="30" fillId="0" borderId="0" xfId="140" applyNumberFormat="1" applyFont="1" applyBorder="1" applyAlignment="1">
      <alignment/>
      <protection/>
    </xf>
    <xf numFmtId="0" fontId="84" fillId="0" borderId="0" xfId="140" applyFont="1">
      <alignment/>
      <protection/>
    </xf>
    <xf numFmtId="0" fontId="30" fillId="0" borderId="0" xfId="140" applyNumberFormat="1" applyFont="1" applyBorder="1" applyAlignment="1">
      <alignment horizontal="center"/>
      <protection/>
    </xf>
    <xf numFmtId="0" fontId="10" fillId="0" borderId="0" xfId="140" applyFont="1">
      <alignment/>
      <protection/>
    </xf>
    <xf numFmtId="0" fontId="34" fillId="0" borderId="0" xfId="140" applyFont="1">
      <alignment/>
      <protection/>
    </xf>
    <xf numFmtId="0" fontId="30" fillId="0" borderId="0" xfId="136" applyFont="1" applyAlignment="1">
      <alignment/>
      <protection/>
    </xf>
    <xf numFmtId="49" fontId="24" fillId="0" borderId="0" xfId="140" applyNumberFormat="1" applyFont="1">
      <alignment/>
      <protection/>
    </xf>
    <xf numFmtId="49" fontId="8" fillId="47" borderId="0" xfId="140" applyNumberFormat="1" applyFont="1" applyFill="1" applyBorder="1" applyAlignment="1">
      <alignment horizontal="left"/>
      <protection/>
    </xf>
    <xf numFmtId="49" fontId="8" fillId="0" borderId="0" xfId="140" applyNumberFormat="1" applyFont="1" applyBorder="1" applyAlignment="1">
      <alignment horizontal="left"/>
      <protection/>
    </xf>
    <xf numFmtId="49" fontId="0" fillId="0" borderId="22" xfId="140" applyNumberFormat="1" applyFont="1" applyBorder="1" applyAlignment="1">
      <alignment/>
      <protection/>
    </xf>
    <xf numFmtId="49" fontId="11" fillId="0" borderId="20" xfId="140" applyNumberFormat="1" applyFont="1" applyFill="1" applyBorder="1" applyAlignment="1">
      <alignment horizontal="center" vertical="center" wrapText="1"/>
      <protection/>
    </xf>
    <xf numFmtId="49" fontId="10" fillId="0" borderId="24" xfId="140" applyNumberFormat="1" applyFont="1" applyFill="1" applyBorder="1">
      <alignment/>
      <protection/>
    </xf>
    <xf numFmtId="49" fontId="10" fillId="0" borderId="0" xfId="140" applyNumberFormat="1" applyFont="1" applyFill="1">
      <alignment/>
      <protection/>
    </xf>
    <xf numFmtId="49" fontId="29" fillId="0" borderId="0" xfId="140" applyNumberFormat="1" applyFont="1" applyFill="1">
      <alignment/>
      <protection/>
    </xf>
    <xf numFmtId="49" fontId="11" fillId="0" borderId="25" xfId="140" applyNumberFormat="1" applyFont="1" applyFill="1" applyBorder="1" applyAlignment="1">
      <alignment horizontal="center" vertical="center" wrapText="1"/>
      <protection/>
    </xf>
    <xf numFmtId="49" fontId="24" fillId="0" borderId="20" xfId="140" applyNumberFormat="1" applyFont="1" applyFill="1" applyBorder="1" applyAlignment="1">
      <alignment horizontal="center" vertical="center"/>
      <protection/>
    </xf>
    <xf numFmtId="49" fontId="24" fillId="0" borderId="20" xfId="140" applyNumberFormat="1" applyFont="1" applyBorder="1" applyAlignment="1">
      <alignment horizontal="center" vertical="center"/>
      <protection/>
    </xf>
    <xf numFmtId="49" fontId="10" fillId="0" borderId="0" xfId="140" applyNumberFormat="1" applyFont="1" applyAlignment="1">
      <alignment vertical="center"/>
      <protection/>
    </xf>
    <xf numFmtId="3" fontId="35" fillId="3" borderId="20" xfId="140" applyNumberFormat="1" applyFont="1" applyFill="1" applyBorder="1" applyAlignment="1">
      <alignment horizontal="center" vertical="center"/>
      <protection/>
    </xf>
    <xf numFmtId="3" fontId="74" fillId="3" borderId="20" xfId="140" applyNumberFormat="1" applyFont="1" applyFill="1" applyBorder="1" applyAlignment="1">
      <alignment horizontal="center" vertical="center"/>
      <protection/>
    </xf>
    <xf numFmtId="3" fontId="35" fillId="4" borderId="20" xfId="140" applyNumberFormat="1" applyFont="1" applyFill="1" applyBorder="1" applyAlignment="1">
      <alignment horizontal="center" vertical="center"/>
      <protection/>
    </xf>
    <xf numFmtId="3" fontId="11" fillId="44" borderId="20" xfId="140" applyNumberFormat="1" applyFont="1" applyFill="1" applyBorder="1" applyAlignment="1">
      <alignment horizontal="center" vertical="center"/>
      <protection/>
    </xf>
    <xf numFmtId="49" fontId="11" fillId="0" borderId="20" xfId="140" applyNumberFormat="1" applyFont="1" applyBorder="1" applyAlignment="1">
      <alignment horizontal="center" vertical="center"/>
      <protection/>
    </xf>
    <xf numFmtId="3" fontId="10" fillId="47" borderId="20" xfId="140" applyNumberFormat="1" applyFont="1" applyFill="1" applyBorder="1" applyAlignment="1">
      <alignment horizontal="center" vertical="center"/>
      <protection/>
    </xf>
    <xf numFmtId="49" fontId="11" fillId="0" borderId="23" xfId="140" applyNumberFormat="1" applyFont="1" applyBorder="1" applyAlignment="1">
      <alignment horizontal="center" vertical="center"/>
      <protection/>
    </xf>
    <xf numFmtId="49" fontId="10" fillId="0" borderId="23" xfId="140" applyNumberFormat="1" applyFont="1" applyBorder="1" applyAlignment="1">
      <alignment horizontal="center" vertical="center"/>
      <protection/>
    </xf>
    <xf numFmtId="3" fontId="10" fillId="0" borderId="20" xfId="140" applyNumberFormat="1" applyFont="1" applyBorder="1" applyAlignment="1">
      <alignment horizontal="center" vertical="center"/>
      <protection/>
    </xf>
    <xf numFmtId="49" fontId="92" fillId="0" borderId="0" xfId="140" applyNumberFormat="1" applyFont="1">
      <alignment/>
      <protection/>
    </xf>
    <xf numFmtId="49" fontId="32" fillId="0" borderId="0" xfId="140" applyNumberFormat="1">
      <alignment/>
      <protection/>
    </xf>
    <xf numFmtId="49" fontId="34" fillId="0" borderId="0" xfId="140" applyNumberFormat="1" applyFont="1" applyBorder="1" applyAlignment="1">
      <alignment wrapText="1"/>
      <protection/>
    </xf>
    <xf numFmtId="49" fontId="26" fillId="0" borderId="0" xfId="140" applyNumberFormat="1" applyFont="1">
      <alignment/>
      <protection/>
    </xf>
    <xf numFmtId="49" fontId="36" fillId="0" borderId="0" xfId="140" applyNumberFormat="1" applyFont="1">
      <alignment/>
      <protection/>
    </xf>
    <xf numFmtId="49" fontId="36" fillId="0" borderId="0" xfId="140" applyNumberFormat="1" applyFont="1" applyAlignment="1">
      <alignment horizontal="center"/>
      <protection/>
    </xf>
    <xf numFmtId="0" fontId="8" fillId="0" borderId="0" xfId="140" applyNumberFormat="1" applyFont="1" applyAlignment="1">
      <alignment horizontal="left"/>
      <protection/>
    </xf>
    <xf numFmtId="0" fontId="10" fillId="0" borderId="0" xfId="140" applyFont="1" applyAlignment="1">
      <alignment/>
      <protection/>
    </xf>
    <xf numFmtId="3" fontId="10" fillId="0" borderId="0" xfId="140" applyNumberFormat="1" applyFont="1">
      <alignment/>
      <protection/>
    </xf>
    <xf numFmtId="0" fontId="12" fillId="0" borderId="0" xfId="140" applyFont="1" applyBorder="1" applyAlignment="1">
      <alignment/>
      <protection/>
    </xf>
    <xf numFmtId="0" fontId="32" fillId="0" borderId="24" xfId="140" applyFont="1" applyBorder="1">
      <alignment/>
      <protection/>
    </xf>
    <xf numFmtId="0" fontId="32" fillId="0" borderId="0" xfId="140" applyFont="1" applyBorder="1">
      <alignment/>
      <protection/>
    </xf>
    <xf numFmtId="0" fontId="17" fillId="0" borderId="20" xfId="140" applyFont="1" applyBorder="1" applyAlignment="1">
      <alignment horizontal="center" vertical="center" wrapText="1"/>
      <protection/>
    </xf>
    <xf numFmtId="0" fontId="24" fillId="0" borderId="23" xfId="140" applyFont="1" applyFill="1" applyBorder="1" applyAlignment="1">
      <alignment horizontal="center" vertical="center"/>
      <protection/>
    </xf>
    <xf numFmtId="0" fontId="24" fillId="0" borderId="20" xfId="140" applyFont="1" applyFill="1" applyBorder="1" applyAlignment="1">
      <alignment horizontal="center" vertical="center"/>
      <protection/>
    </xf>
    <xf numFmtId="0" fontId="24" fillId="0" borderId="20" xfId="140" applyFont="1" applyBorder="1" applyAlignment="1">
      <alignment horizontal="center" vertical="center"/>
      <protection/>
    </xf>
    <xf numFmtId="3" fontId="25" fillId="3" borderId="20" xfId="140" applyNumberFormat="1" applyFont="1" applyFill="1" applyBorder="1" applyAlignment="1">
      <alignment horizontal="center" vertical="center"/>
      <protection/>
    </xf>
    <xf numFmtId="3" fontId="40" fillId="3" borderId="20" xfId="140" applyNumberFormat="1" applyFont="1" applyFill="1" applyBorder="1" applyAlignment="1">
      <alignment horizontal="center" vertical="center"/>
      <protection/>
    </xf>
    <xf numFmtId="3" fontId="7" fillId="44" borderId="23" xfId="140" applyNumberFormat="1" applyFont="1" applyFill="1" applyBorder="1" applyAlignment="1">
      <alignment horizontal="center" vertical="center"/>
      <protection/>
    </xf>
    <xf numFmtId="3" fontId="0" fillId="48" borderId="23" xfId="140" applyNumberFormat="1" applyFont="1" applyFill="1" applyBorder="1" applyAlignment="1">
      <alignment horizontal="center" vertical="center"/>
      <protection/>
    </xf>
    <xf numFmtId="3" fontId="0" fillId="0" borderId="20" xfId="140" applyNumberFormat="1" applyFont="1" applyBorder="1" applyAlignment="1">
      <alignment horizontal="center" vertical="center"/>
      <protection/>
    </xf>
    <xf numFmtId="3" fontId="0" fillId="0" borderId="26" xfId="140" applyNumberFormat="1" applyFont="1" applyBorder="1" applyAlignment="1">
      <alignment horizontal="center" vertical="center"/>
      <protection/>
    </xf>
    <xf numFmtId="0" fontId="11" fillId="0" borderId="23" xfId="140" applyFont="1" applyBorder="1" applyAlignment="1">
      <alignment horizontal="center" vertical="center"/>
      <protection/>
    </xf>
    <xf numFmtId="3" fontId="0" fillId="44" borderId="23" xfId="140" applyNumberFormat="1" applyFont="1" applyFill="1" applyBorder="1" applyAlignment="1">
      <alignment horizontal="center" vertical="center"/>
      <protection/>
    </xf>
    <xf numFmtId="3" fontId="0" fillId="47" borderId="20" xfId="140" applyNumberFormat="1" applyFont="1" applyFill="1" applyBorder="1" applyAlignment="1">
      <alignment horizontal="center" vertical="center"/>
      <protection/>
    </xf>
    <xf numFmtId="3" fontId="0" fillId="47" borderId="26" xfId="140" applyNumberFormat="1" applyFont="1" applyFill="1" applyBorder="1" applyAlignment="1">
      <alignment horizontal="center" vertical="center"/>
      <protection/>
    </xf>
    <xf numFmtId="0" fontId="34" fillId="0" borderId="0" xfId="140" applyNumberFormat="1" applyFont="1" applyBorder="1" applyAlignment="1">
      <alignment/>
      <protection/>
    </xf>
    <xf numFmtId="0" fontId="93" fillId="0" borderId="0" xfId="140" applyFont="1">
      <alignment/>
      <protection/>
    </xf>
    <xf numFmtId="0" fontId="21" fillId="0" borderId="0" xfId="140" applyFont="1">
      <alignment/>
      <protection/>
    </xf>
    <xf numFmtId="0" fontId="33" fillId="0" borderId="0" xfId="140" applyFont="1">
      <alignment/>
      <protection/>
    </xf>
    <xf numFmtId="0" fontId="18" fillId="0" borderId="0" xfId="140" applyFont="1">
      <alignment/>
      <protection/>
    </xf>
    <xf numFmtId="49" fontId="18" fillId="0" borderId="0" xfId="140" applyNumberFormat="1" applyFont="1">
      <alignment/>
      <protection/>
    </xf>
    <xf numFmtId="0" fontId="86" fillId="0" borderId="0" xfId="140" applyFont="1">
      <alignment/>
      <protection/>
    </xf>
    <xf numFmtId="49" fontId="23" fillId="0" borderId="0" xfId="140" applyNumberFormat="1" applyFont="1" applyBorder="1" applyAlignment="1">
      <alignment/>
      <protection/>
    </xf>
    <xf numFmtId="49" fontId="32" fillId="0" borderId="0" xfId="140" applyNumberFormat="1" applyFont="1" applyAlignment="1">
      <alignment horizontal="center"/>
      <protection/>
    </xf>
    <xf numFmtId="3" fontId="24" fillId="47" borderId="22" xfId="140" applyNumberFormat="1" applyFont="1" applyFill="1" applyBorder="1" applyAlignment="1">
      <alignment horizontal="center"/>
      <protection/>
    </xf>
    <xf numFmtId="49" fontId="10" fillId="0" borderId="22" xfId="140" applyNumberFormat="1" applyFont="1" applyBorder="1" applyAlignment="1">
      <alignment/>
      <protection/>
    </xf>
    <xf numFmtId="49" fontId="32" fillId="0" borderId="0" xfId="140" applyNumberFormat="1" applyFill="1">
      <alignment/>
      <protection/>
    </xf>
    <xf numFmtId="49" fontId="32" fillId="0" borderId="0" xfId="140" applyNumberFormat="1" applyFill="1" applyAlignment="1">
      <alignment vertical="center" wrapText="1"/>
      <protection/>
    </xf>
    <xf numFmtId="49" fontId="32" fillId="0" borderId="0" xfId="140" applyNumberFormat="1" applyAlignment="1">
      <alignment vertical="center"/>
      <protection/>
    </xf>
    <xf numFmtId="3" fontId="10" fillId="44" borderId="20" xfId="140" applyNumberFormat="1" applyFont="1" applyFill="1" applyBorder="1" applyAlignment="1">
      <alignment horizontal="center" vertical="center"/>
      <protection/>
    </xf>
    <xf numFmtId="3" fontId="32" fillId="0" borderId="20" xfId="140" applyNumberFormat="1" applyFont="1" applyBorder="1" applyAlignment="1">
      <alignment horizontal="center" vertical="center"/>
      <protection/>
    </xf>
    <xf numFmtId="0" fontId="10" fillId="0" borderId="20" xfId="140" applyFont="1" applyBorder="1" applyAlignment="1">
      <alignment horizontal="center" vertical="center"/>
      <protection/>
    </xf>
    <xf numFmtId="3" fontId="10" fillId="0" borderId="20" xfId="140" applyNumberFormat="1" applyFont="1" applyFill="1" applyBorder="1" applyAlignment="1">
      <alignment horizontal="center" vertical="center"/>
      <protection/>
    </xf>
    <xf numFmtId="3" fontId="32" fillId="0" borderId="20" xfId="140" applyNumberFormat="1" applyFont="1" applyFill="1" applyBorder="1" applyAlignment="1">
      <alignment horizontal="center" vertical="center"/>
      <protection/>
    </xf>
    <xf numFmtId="49" fontId="32" fillId="0" borderId="0" xfId="140" applyNumberFormat="1" applyAlignment="1">
      <alignment horizontal="center"/>
      <protection/>
    </xf>
    <xf numFmtId="49" fontId="77" fillId="0" borderId="0" xfId="140" applyNumberFormat="1" applyFont="1" applyAlignment="1">
      <alignment horizontal="left"/>
      <protection/>
    </xf>
    <xf numFmtId="49" fontId="36" fillId="0" borderId="0" xfId="140" applyNumberFormat="1" applyFont="1" applyAlignment="1">
      <alignment/>
      <protection/>
    </xf>
    <xf numFmtId="49" fontId="7" fillId="47" borderId="0" xfId="140" applyNumberFormat="1" applyFont="1" applyFill="1" applyBorder="1" applyAlignment="1">
      <alignment/>
      <protection/>
    </xf>
    <xf numFmtId="49" fontId="7" fillId="0" borderId="0" xfId="140" applyNumberFormat="1" applyFont="1" applyAlignment="1">
      <alignment/>
      <protection/>
    </xf>
    <xf numFmtId="49" fontId="7" fillId="0" borderId="0" xfId="140" applyNumberFormat="1" applyFont="1" applyBorder="1" applyAlignment="1">
      <alignment/>
      <protection/>
    </xf>
    <xf numFmtId="49" fontId="11" fillId="0" borderId="22" xfId="140" applyNumberFormat="1" applyFont="1" applyBorder="1" applyAlignment="1">
      <alignment/>
      <protection/>
    </xf>
    <xf numFmtId="3" fontId="24" fillId="0" borderId="20" xfId="140" applyNumberFormat="1" applyFont="1" applyBorder="1" applyAlignment="1">
      <alignment horizontal="center" vertical="center"/>
      <protection/>
    </xf>
    <xf numFmtId="49" fontId="32" fillId="47" borderId="0" xfId="140" applyNumberFormat="1" applyFont="1" applyFill="1" applyAlignment="1">
      <alignment vertical="center"/>
      <protection/>
    </xf>
    <xf numFmtId="3" fontId="32" fillId="47" borderId="20" xfId="140" applyNumberFormat="1" applyFont="1" applyFill="1" applyBorder="1" applyAlignment="1">
      <alignment horizontal="center" vertical="center"/>
      <protection/>
    </xf>
    <xf numFmtId="3" fontId="96" fillId="0" borderId="20" xfId="140" applyNumberFormat="1" applyFont="1" applyBorder="1" applyAlignment="1">
      <alignment horizontal="center" vertical="center"/>
      <protection/>
    </xf>
    <xf numFmtId="0" fontId="10" fillId="0" borderId="19" xfId="140" applyFont="1" applyFill="1" applyBorder="1" applyAlignment="1">
      <alignment horizontal="center" vertical="center"/>
      <protection/>
    </xf>
    <xf numFmtId="49" fontId="11" fillId="0" borderId="19" xfId="136" applyNumberFormat="1" applyFont="1" applyFill="1" applyBorder="1" applyAlignment="1">
      <alignment horizontal="left" vertical="center"/>
      <protection/>
    </xf>
    <xf numFmtId="3" fontId="10" fillId="0" borderId="19" xfId="140" applyNumberFormat="1" applyFont="1" applyFill="1" applyBorder="1" applyAlignment="1">
      <alignment horizontal="center" vertical="center"/>
      <protection/>
    </xf>
    <xf numFmtId="3" fontId="24" fillId="0" borderId="19" xfId="140" applyNumberFormat="1" applyFont="1" applyFill="1" applyBorder="1" applyAlignment="1">
      <alignment horizontal="center" vertical="center"/>
      <protection/>
    </xf>
    <xf numFmtId="3" fontId="32" fillId="0" borderId="19" xfId="140" applyNumberFormat="1" applyFont="1" applyFill="1" applyBorder="1" applyAlignment="1">
      <alignment vertical="center"/>
      <protection/>
    </xf>
    <xf numFmtId="3" fontId="97" fillId="0" borderId="19" xfId="140" applyNumberFormat="1" applyFont="1" applyFill="1" applyBorder="1" applyAlignment="1">
      <alignment vertical="center"/>
      <protection/>
    </xf>
    <xf numFmtId="49" fontId="36" fillId="0" borderId="0" xfId="140" applyNumberFormat="1" applyFont="1" applyBorder="1" applyAlignment="1">
      <alignment/>
      <protection/>
    </xf>
    <xf numFmtId="49" fontId="34" fillId="0" borderId="0" xfId="140" applyNumberFormat="1" applyFont="1" applyBorder="1" applyAlignment="1">
      <alignment horizontal="center"/>
      <protection/>
    </xf>
    <xf numFmtId="49" fontId="34" fillId="0" borderId="0" xfId="140" applyNumberFormat="1" applyFont="1" applyAlignment="1">
      <alignment/>
      <protection/>
    </xf>
    <xf numFmtId="0" fontId="10" fillId="47" borderId="0" xfId="140" applyFont="1" applyFill="1" applyBorder="1" applyAlignment="1">
      <alignment/>
      <protection/>
    </xf>
    <xf numFmtId="49" fontId="98" fillId="0" borderId="0" xfId="140" applyNumberFormat="1" applyFont="1">
      <alignment/>
      <protection/>
    </xf>
    <xf numFmtId="49" fontId="99" fillId="0" borderId="0" xfId="140" applyNumberFormat="1" applyFont="1">
      <alignment/>
      <protection/>
    </xf>
    <xf numFmtId="49" fontId="100" fillId="0" borderId="0" xfId="140" applyNumberFormat="1" applyFont="1" applyAlignment="1">
      <alignment horizontal="center"/>
      <protection/>
    </xf>
    <xf numFmtId="49" fontId="30" fillId="47" borderId="0" xfId="136" applyNumberFormat="1" applyFont="1" applyFill="1" applyAlignment="1">
      <alignment/>
      <protection/>
    </xf>
    <xf numFmtId="49" fontId="85" fillId="0" borderId="0" xfId="140" applyNumberFormat="1" applyFont="1">
      <alignment/>
      <protection/>
    </xf>
    <xf numFmtId="49" fontId="36" fillId="0" borderId="0" xfId="140" applyNumberFormat="1" applyFont="1" applyBorder="1" applyAlignment="1">
      <alignment wrapText="1"/>
      <protection/>
    </xf>
    <xf numFmtId="49" fontId="88" fillId="0" borderId="0" xfId="140" applyNumberFormat="1" applyFont="1">
      <alignment/>
      <protection/>
    </xf>
    <xf numFmtId="49" fontId="83" fillId="0" borderId="0" xfId="140" applyNumberFormat="1" applyFont="1">
      <alignment/>
      <protection/>
    </xf>
    <xf numFmtId="49" fontId="19" fillId="0" borderId="0" xfId="140" applyNumberFormat="1" applyFont="1" applyFill="1" applyAlignment="1">
      <alignment wrapText="1"/>
      <protection/>
    </xf>
    <xf numFmtId="49" fontId="0" fillId="0" borderId="0" xfId="140" applyNumberFormat="1" applyFont="1" applyFill="1" applyBorder="1" applyAlignment="1">
      <alignment/>
      <protection/>
    </xf>
    <xf numFmtId="49" fontId="7" fillId="0" borderId="0" xfId="140" applyNumberFormat="1" applyFont="1" applyFill="1" applyBorder="1" applyAlignment="1">
      <alignment/>
      <protection/>
    </xf>
    <xf numFmtId="49" fontId="101" fillId="0" borderId="0" xfId="140" applyNumberFormat="1" applyFont="1" applyFill="1">
      <alignment/>
      <protection/>
    </xf>
    <xf numFmtId="49" fontId="32" fillId="0" borderId="0" xfId="140" applyNumberFormat="1" applyFont="1" applyFill="1" applyAlignment="1">
      <alignment horizontal="center"/>
      <protection/>
    </xf>
    <xf numFmtId="49" fontId="24" fillId="0" borderId="0" xfId="140" applyNumberFormat="1" applyFont="1" applyFill="1" applyBorder="1" applyAlignment="1">
      <alignment/>
      <protection/>
    </xf>
    <xf numFmtId="49" fontId="11" fillId="0" borderId="0" xfId="140" applyNumberFormat="1" applyFont="1" applyFill="1" applyBorder="1" applyAlignment="1">
      <alignment/>
      <protection/>
    </xf>
    <xf numFmtId="49" fontId="87" fillId="0" borderId="0" xfId="140" applyNumberFormat="1" applyFont="1" applyFill="1">
      <alignment/>
      <protection/>
    </xf>
    <xf numFmtId="49" fontId="87" fillId="0" borderId="0" xfId="140" applyNumberFormat="1" applyFont="1" applyFill="1" applyAlignment="1">
      <alignment/>
      <protection/>
    </xf>
    <xf numFmtId="49" fontId="24" fillId="0" borderId="27" xfId="140" applyNumberFormat="1" applyFont="1" applyFill="1" applyBorder="1" applyAlignment="1">
      <alignment horizontal="center" vertical="center"/>
      <protection/>
    </xf>
    <xf numFmtId="3" fontId="11" fillId="44" borderId="27" xfId="140" applyNumberFormat="1" applyFont="1" applyFill="1" applyBorder="1" applyAlignment="1">
      <alignment horizontal="center" vertical="center"/>
      <protection/>
    </xf>
    <xf numFmtId="3" fontId="11" fillId="44" borderId="23" xfId="140" applyNumberFormat="1" applyFont="1" applyFill="1" applyBorder="1" applyAlignment="1">
      <alignment horizontal="center" vertical="center"/>
      <protection/>
    </xf>
    <xf numFmtId="49" fontId="7" fillId="0" borderId="0" xfId="140" applyNumberFormat="1" applyFont="1" applyAlignment="1">
      <alignment horizontal="center"/>
      <protection/>
    </xf>
    <xf numFmtId="49" fontId="30" fillId="0" borderId="0" xfId="140" applyNumberFormat="1" applyFont="1">
      <alignment/>
      <protection/>
    </xf>
    <xf numFmtId="49" fontId="7" fillId="0" borderId="0" xfId="140" applyNumberFormat="1" applyFont="1">
      <alignment/>
      <protection/>
    </xf>
    <xf numFmtId="49" fontId="34" fillId="0" borderId="0" xfId="140" applyNumberFormat="1" applyFont="1">
      <alignment/>
      <protection/>
    </xf>
    <xf numFmtId="3" fontId="7" fillId="47" borderId="0" xfId="140" applyNumberFormat="1" applyFont="1" applyFill="1" applyBorder="1" applyAlignment="1">
      <alignment/>
      <protection/>
    </xf>
    <xf numFmtId="0" fontId="7" fillId="0" borderId="0" xfId="140" applyFont="1">
      <alignment/>
      <protection/>
    </xf>
    <xf numFmtId="0" fontId="8" fillId="0" borderId="0" xfId="140" applyFont="1" applyBorder="1" applyAlignment="1">
      <alignment horizontal="left"/>
      <protection/>
    </xf>
    <xf numFmtId="3" fontId="0" fillId="0" borderId="0" xfId="140" applyNumberFormat="1" applyFont="1" applyAlignment="1">
      <alignment horizontal="left"/>
      <protection/>
    </xf>
    <xf numFmtId="0" fontId="18" fillId="0" borderId="0" xfId="140" applyFont="1" applyBorder="1" applyAlignment="1">
      <alignment/>
      <protection/>
    </xf>
    <xf numFmtId="0" fontId="12" fillId="0" borderId="20" xfId="140" applyFont="1" applyFill="1" applyBorder="1" applyAlignment="1">
      <alignment horizontal="center" vertical="center" wrapText="1"/>
      <protection/>
    </xf>
    <xf numFmtId="0" fontId="7" fillId="0" borderId="0" xfId="140" applyFont="1" applyFill="1" applyBorder="1">
      <alignment/>
      <protection/>
    </xf>
    <xf numFmtId="0" fontId="7" fillId="0" borderId="0" xfId="140" applyFont="1" applyFill="1">
      <alignment/>
      <protection/>
    </xf>
    <xf numFmtId="3" fontId="23" fillId="0" borderId="20" xfId="140" applyNumberFormat="1" applyFont="1" applyBorder="1" applyAlignment="1">
      <alignment horizontal="center" vertical="center"/>
      <protection/>
    </xf>
    <xf numFmtId="0" fontId="0" fillId="0" borderId="0" xfId="140" applyFont="1" applyAlignment="1">
      <alignment horizontal="center" vertical="center"/>
      <protection/>
    </xf>
    <xf numFmtId="3" fontId="8" fillId="44" borderId="20" xfId="140" applyNumberFormat="1" applyFont="1" applyFill="1" applyBorder="1" applyAlignment="1">
      <alignment horizontal="center" vertical="center"/>
      <protection/>
    </xf>
    <xf numFmtId="0" fontId="7" fillId="0" borderId="0" xfId="140" applyFont="1" applyAlignment="1">
      <alignment vertical="center"/>
      <protection/>
    </xf>
    <xf numFmtId="9" fontId="7" fillId="0" borderId="0" xfId="148" applyFont="1" applyAlignment="1">
      <alignment vertical="center"/>
    </xf>
    <xf numFmtId="0" fontId="7" fillId="0" borderId="0" xfId="140" applyFont="1" applyAlignment="1">
      <alignment horizontal="center"/>
      <protection/>
    </xf>
    <xf numFmtId="0" fontId="30" fillId="0" borderId="0" xfId="140" applyFont="1">
      <alignment/>
      <protection/>
    </xf>
    <xf numFmtId="0" fontId="77" fillId="0" borderId="0" xfId="140" applyFont="1" applyAlignment="1">
      <alignment horizontal="center"/>
      <protection/>
    </xf>
    <xf numFmtId="49" fontId="57" fillId="0" borderId="0" xfId="140" applyNumberFormat="1" applyFont="1">
      <alignment/>
      <protection/>
    </xf>
    <xf numFmtId="49" fontId="102" fillId="0" borderId="0" xfId="140" applyNumberFormat="1" applyFont="1" applyBorder="1" applyAlignment="1">
      <alignment wrapText="1"/>
      <protection/>
    </xf>
    <xf numFmtId="0" fontId="36" fillId="0" borderId="0" xfId="140"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5" applyNumberFormat="1" applyFont="1" applyFill="1" applyBorder="1" applyAlignment="1" applyProtection="1">
      <alignment horizontal="center" vertical="center"/>
      <protection/>
    </xf>
    <xf numFmtId="49" fontId="36" fillId="47" borderId="20" xfId="0" applyNumberFormat="1" applyFont="1" applyFill="1" applyBorder="1" applyAlignment="1">
      <alignment/>
    </xf>
    <xf numFmtId="3" fontId="36" fillId="47" borderId="20"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7" fillId="47" borderId="20" xfId="0" applyNumberFormat="1" applyFont="1" applyFill="1" applyBorder="1" applyAlignment="1">
      <alignment/>
    </xf>
    <xf numFmtId="3" fontId="57" fillId="47" borderId="20" xfId="135" applyNumberFormat="1" applyFont="1" applyFill="1" applyBorder="1" applyAlignment="1" applyProtection="1">
      <alignment horizontal="center" vertical="center"/>
      <protection/>
    </xf>
    <xf numFmtId="10" fontId="34" fillId="0" borderId="20" xfId="131" applyNumberFormat="1" applyFont="1" applyFill="1" applyBorder="1" applyAlignment="1">
      <alignment horizontal="center" vertical="center"/>
      <protection/>
    </xf>
    <xf numFmtId="10" fontId="57"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2" fillId="47" borderId="20" xfId="0" applyNumberFormat="1" applyFont="1" applyFill="1" applyBorder="1" applyAlignment="1">
      <alignment/>
    </xf>
    <xf numFmtId="10" fontId="62" fillId="0" borderId="20" xfId="131" applyNumberFormat="1" applyFont="1" applyFill="1" applyBorder="1" applyAlignment="1">
      <alignment horizontal="center" vertical="center"/>
      <protection/>
    </xf>
    <xf numFmtId="3" fontId="62" fillId="47" borderId="20" xfId="135" applyNumberFormat="1" applyFont="1" applyFill="1" applyBorder="1" applyAlignment="1" applyProtection="1">
      <alignment horizontal="center" vertical="center"/>
      <protection/>
    </xf>
    <xf numFmtId="49" fontId="105" fillId="47" borderId="20" xfId="0" applyNumberFormat="1" applyFont="1" applyFill="1" applyBorder="1" applyAlignment="1">
      <alignment/>
    </xf>
    <xf numFmtId="49" fontId="62" fillId="47" borderId="35" xfId="0" applyNumberFormat="1" applyFont="1" applyFill="1" applyBorder="1" applyAlignment="1">
      <alignment/>
    </xf>
    <xf numFmtId="3" fontId="62" fillId="47" borderId="19" xfId="135" applyNumberFormat="1" applyFont="1" applyFill="1" applyBorder="1" applyAlignment="1" applyProtection="1">
      <alignment horizontal="center" vertical="center"/>
      <protection/>
    </xf>
    <xf numFmtId="10" fontId="62"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5" applyNumberFormat="1" applyFont="1" applyFill="1" applyBorder="1" applyAlignment="1" applyProtection="1">
      <alignment horizontal="center" vertical="center"/>
      <protection/>
    </xf>
    <xf numFmtId="3" fontId="8" fillId="47" borderId="37" xfId="135" applyNumberFormat="1" applyFont="1" applyFill="1" applyBorder="1" applyAlignment="1" applyProtection="1">
      <alignment horizontal="center" vertical="center"/>
      <protection/>
    </xf>
    <xf numFmtId="49" fontId="40"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1" fontId="11" fillId="0" borderId="20" xfId="0" applyNumberFormat="1" applyFont="1" applyFill="1" applyBorder="1" applyAlignment="1">
      <alignment horizontal="left"/>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35" applyNumberFormat="1" applyFont="1" applyFill="1" applyBorder="1" applyAlignment="1" applyProtection="1">
      <alignment horizontal="center" vertical="center"/>
      <protection/>
    </xf>
    <xf numFmtId="3" fontId="8" fillId="47" borderId="26" xfId="135"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3" fontId="12" fillId="0" borderId="20" xfId="135"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0" fillId="0" borderId="0" xfId="0" applyNumberFormat="1" applyFont="1" applyAlignment="1">
      <alignment horizontal="center"/>
    </xf>
    <xf numFmtId="3" fontId="8" fillId="0" borderId="20" xfId="135" applyNumberFormat="1" applyFont="1" applyFill="1" applyBorder="1" applyAlignment="1" applyProtection="1">
      <alignment horizontal="center" vertical="center"/>
      <protection/>
    </xf>
    <xf numFmtId="49" fontId="12" fillId="0" borderId="20" xfId="0" applyNumberFormat="1" applyFont="1" applyFill="1" applyBorder="1" applyAlignment="1" applyProtection="1">
      <alignment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6" fillId="0" borderId="0" xfId="0" applyNumberFormat="1" applyFont="1" applyFill="1" applyBorder="1" applyAlignment="1">
      <alignment/>
    </xf>
    <xf numFmtId="49" fontId="107" fillId="0" borderId="0" xfId="0" applyNumberFormat="1" applyFont="1" applyFill="1" applyBorder="1" applyAlignment="1">
      <alignment/>
    </xf>
    <xf numFmtId="49" fontId="18" fillId="0" borderId="0" xfId="0" applyNumberFormat="1" applyFont="1" applyFill="1" applyAlignment="1">
      <alignment/>
    </xf>
    <xf numFmtId="10" fontId="0" fillId="0" borderId="20" xfId="13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2" fontId="11" fillId="0" borderId="23" xfId="0" applyNumberFormat="1" applyFont="1" applyFill="1" applyBorder="1" applyAlignment="1">
      <alignment horizontal="left"/>
    </xf>
    <xf numFmtId="3" fontId="8" fillId="0" borderId="0" xfId="135" applyNumberFormat="1" applyFont="1" applyFill="1" applyBorder="1" applyAlignment="1" applyProtection="1">
      <alignment horizontal="center" vertical="center"/>
      <protection/>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6" fillId="0" borderId="19" xfId="0"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xf>
    <xf numFmtId="49" fontId="18" fillId="0" borderId="38" xfId="0" applyNumberFormat="1" applyFont="1" applyFill="1" applyBorder="1" applyAlignment="1" applyProtection="1">
      <alignment horizontal="center" vertical="center"/>
      <protection/>
    </xf>
    <xf numFmtId="49" fontId="12" fillId="0" borderId="39" xfId="0" applyNumberFormat="1" applyFont="1" applyFill="1" applyBorder="1" applyAlignment="1" applyProtection="1">
      <alignment horizontal="center" vertical="center"/>
      <protection/>
    </xf>
    <xf numFmtId="49" fontId="12" fillId="0" borderId="20" xfId="135" applyNumberFormat="1" applyFont="1" applyFill="1" applyBorder="1" applyAlignment="1">
      <alignment vertical="center" wrapText="1"/>
      <protection/>
    </xf>
    <xf numFmtId="49" fontId="6" fillId="0" borderId="0" xfId="0" applyNumberFormat="1" applyFont="1" applyFill="1" applyBorder="1" applyAlignment="1">
      <alignment/>
    </xf>
    <xf numFmtId="49" fontId="0" fillId="0" borderId="20" xfId="0" applyNumberFormat="1" applyFont="1" applyFill="1" applyBorder="1" applyAlignment="1">
      <alignment/>
    </xf>
    <xf numFmtId="49" fontId="30" fillId="0" borderId="20" xfId="0" applyNumberFormat="1" applyFont="1" applyBorder="1" applyAlignment="1">
      <alignment horizontal="center"/>
    </xf>
    <xf numFmtId="3" fontId="12" fillId="4" borderId="20" xfId="135"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40" xfId="0" applyFill="1" applyBorder="1" applyAlignment="1">
      <alignment/>
    </xf>
    <xf numFmtId="0" fontId="30" fillId="0" borderId="0" xfId="0" applyNumberFormat="1" applyFont="1" applyBorder="1" applyAlignment="1">
      <alignment horizontal="center"/>
    </xf>
    <xf numFmtId="10" fontId="10" fillId="0" borderId="20" xfId="131" applyNumberFormat="1" applyFont="1" applyFill="1" applyBorder="1" applyAlignment="1">
      <alignment horizontal="right" vertical="center"/>
      <protection/>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20" xfId="131" applyNumberFormat="1" applyFont="1" applyFill="1" applyBorder="1" applyAlignment="1">
      <alignment horizontal="right" vertical="center"/>
      <protection/>
    </xf>
    <xf numFmtId="10" fontId="8" fillId="0" borderId="20" xfId="131"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6" fillId="0" borderId="19" xfId="0" applyFont="1" applyFill="1" applyBorder="1" applyAlignment="1">
      <alignment wrapText="1"/>
    </xf>
    <xf numFmtId="0" fontId="34" fillId="0" borderId="0" xfId="0" applyNumberFormat="1" applyFont="1" applyFill="1" applyBorder="1" applyAlignment="1">
      <alignment wrapText="1"/>
    </xf>
    <xf numFmtId="0" fontId="30" fillId="0" borderId="0" xfId="0" applyNumberFormat="1" applyFont="1" applyFill="1" applyBorder="1" applyAlignment="1">
      <alignment horizontal="center"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30" fillId="0" borderId="0" xfId="0" applyNumberFormat="1" applyFont="1" applyFill="1" applyBorder="1" applyAlignment="1">
      <alignment/>
    </xf>
    <xf numFmtId="0" fontId="30" fillId="0" borderId="0" xfId="0" applyNumberFormat="1" applyFont="1" applyFill="1" applyAlignment="1">
      <alignment/>
    </xf>
    <xf numFmtId="0" fontId="0" fillId="0" borderId="0" xfId="0" applyNumberFormat="1" applyFont="1" applyFill="1" applyAlignment="1">
      <alignment/>
    </xf>
    <xf numFmtId="0" fontId="12" fillId="0" borderId="0" xfId="0" applyNumberFormat="1" applyFont="1" applyFill="1" applyAlignment="1">
      <alignment/>
    </xf>
    <xf numFmtId="0" fontId="0" fillId="0" borderId="0" xfId="0" applyNumberFormat="1" applyFont="1" applyFill="1" applyAlignment="1">
      <alignment/>
    </xf>
    <xf numFmtId="0" fontId="8" fillId="0" borderId="0" xfId="0" applyNumberFormat="1" applyFont="1" applyFill="1" applyAlignment="1">
      <alignment wrapText="1"/>
    </xf>
    <xf numFmtId="0" fontId="25"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0" fillId="0" borderId="0" xfId="137" applyNumberFormat="1" applyFont="1" applyFill="1">
      <alignment/>
      <protection/>
    </xf>
    <xf numFmtId="49" fontId="0" fillId="0" borderId="0" xfId="141" applyNumberFormat="1" applyFont="1" applyFill="1" applyAlignment="1">
      <alignment horizontal="left"/>
      <protection/>
    </xf>
    <xf numFmtId="49" fontId="19" fillId="0" borderId="0" xfId="141" applyNumberFormat="1" applyFont="1" applyFill="1" applyAlignment="1">
      <alignment wrapText="1"/>
      <protection/>
    </xf>
    <xf numFmtId="49"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left"/>
      <protection/>
    </xf>
    <xf numFmtId="49" fontId="32" fillId="0" borderId="0" xfId="141" applyNumberFormat="1" applyFont="1" applyFill="1">
      <alignment/>
      <protection/>
    </xf>
    <xf numFmtId="49" fontId="0" fillId="0" borderId="0" xfId="141" applyNumberFormat="1" applyFont="1" applyFill="1" applyBorder="1" applyAlignment="1">
      <alignment/>
      <protection/>
    </xf>
    <xf numFmtId="49" fontId="20" fillId="0" borderId="0" xfId="141" applyNumberFormat="1" applyFont="1" applyFill="1" applyAlignment="1">
      <alignment/>
      <protection/>
    </xf>
    <xf numFmtId="49" fontId="23" fillId="0" borderId="0" xfId="141" applyNumberFormat="1" applyFont="1" applyFill="1" applyBorder="1" applyAlignment="1">
      <alignment/>
      <protection/>
    </xf>
    <xf numFmtId="49" fontId="23" fillId="0" borderId="22" xfId="141" applyNumberFormat="1" applyFont="1" applyFill="1" applyBorder="1" applyAlignment="1">
      <alignment horizontal="left"/>
      <protection/>
    </xf>
    <xf numFmtId="49" fontId="17" fillId="0" borderId="20" xfId="141" applyNumberFormat="1" applyFont="1" applyFill="1" applyBorder="1" applyAlignment="1">
      <alignment horizontal="center" vertical="center" wrapText="1" readingOrder="1"/>
      <protection/>
    </xf>
    <xf numFmtId="49" fontId="32" fillId="0" borderId="0" xfId="141" applyNumberFormat="1" applyFont="1" applyFill="1" applyBorder="1">
      <alignment/>
      <protection/>
    </xf>
    <xf numFmtId="49" fontId="17" fillId="0" borderId="0" xfId="141" applyNumberFormat="1" applyFont="1" applyFill="1" applyBorder="1" applyAlignment="1">
      <alignment vertical="justify" textRotation="90" wrapText="1"/>
      <protection/>
    </xf>
    <xf numFmtId="49" fontId="79" fillId="0" borderId="26" xfId="141" applyNumberFormat="1" applyFont="1" applyFill="1" applyBorder="1" applyAlignment="1">
      <alignment wrapText="1"/>
      <protection/>
    </xf>
    <xf numFmtId="49" fontId="79" fillId="0" borderId="25" xfId="141" applyNumberFormat="1" applyFont="1" applyFill="1" applyBorder="1" applyAlignment="1">
      <alignment wrapText="1"/>
      <protection/>
    </xf>
    <xf numFmtId="49" fontId="109" fillId="0" borderId="37" xfId="141" applyNumberFormat="1" applyFont="1" applyFill="1" applyBorder="1" applyAlignment="1">
      <alignment horizontal="center" wrapText="1"/>
      <protection/>
    </xf>
    <xf numFmtId="49" fontId="24" fillId="0" borderId="23" xfId="141" applyNumberFormat="1" applyFont="1" applyFill="1" applyBorder="1" applyAlignment="1">
      <alignment horizontal="center"/>
      <protection/>
    </xf>
    <xf numFmtId="49" fontId="32" fillId="0" borderId="0" xfId="141" applyNumberFormat="1" applyFont="1" applyFill="1" applyBorder="1" applyAlignment="1">
      <alignment vertical="center"/>
      <protection/>
    </xf>
    <xf numFmtId="49" fontId="32" fillId="0" borderId="0" xfId="141" applyNumberFormat="1" applyFont="1" applyFill="1" applyAlignment="1">
      <alignment vertical="center"/>
      <protection/>
    </xf>
    <xf numFmtId="3" fontId="29" fillId="0" borderId="37" xfId="141" applyNumberFormat="1" applyFont="1" applyFill="1" applyBorder="1" applyAlignment="1">
      <alignment horizontal="center" vertical="center" wrapText="1"/>
      <protection/>
    </xf>
    <xf numFmtId="49" fontId="8" fillId="0" borderId="23" xfId="141" applyNumberFormat="1" applyFont="1" applyFill="1" applyBorder="1" applyAlignment="1">
      <alignment horizontal="center" vertical="center"/>
      <protection/>
    </xf>
    <xf numFmtId="49" fontId="1" fillId="0" borderId="0" xfId="141" applyNumberFormat="1" applyFont="1" applyFill="1">
      <alignment/>
      <protection/>
    </xf>
    <xf numFmtId="49" fontId="84" fillId="0" borderId="0" xfId="141" applyNumberFormat="1" applyFont="1" applyFill="1">
      <alignment/>
      <protection/>
    </xf>
    <xf numFmtId="49" fontId="10" fillId="0" borderId="0" xfId="141" applyNumberFormat="1" applyFont="1" applyFill="1">
      <alignment/>
      <protection/>
    </xf>
    <xf numFmtId="49" fontId="21" fillId="0" borderId="0" xfId="141" applyNumberFormat="1" applyFont="1" applyFill="1" applyAlignment="1">
      <alignment horizontal="left"/>
      <protection/>
    </xf>
    <xf numFmtId="49" fontId="18" fillId="0" borderId="0" xfId="141" applyNumberFormat="1" applyFont="1" applyFill="1" applyBorder="1" applyAlignment="1">
      <alignment wrapText="1"/>
      <protection/>
    </xf>
    <xf numFmtId="49" fontId="86" fillId="0" borderId="0" xfId="141" applyNumberFormat="1" applyFont="1" applyFill="1">
      <alignment/>
      <protection/>
    </xf>
    <xf numFmtId="49" fontId="18" fillId="0" borderId="0" xfId="141" applyNumberFormat="1" applyFont="1" applyFill="1" applyAlignment="1">
      <alignment horizontal="left"/>
      <protection/>
    </xf>
    <xf numFmtId="49" fontId="8" fillId="0" borderId="0" xfId="141" applyNumberFormat="1" applyFont="1" applyFill="1" applyAlignment="1">
      <alignment horizontal="left"/>
      <protection/>
    </xf>
    <xf numFmtId="49" fontId="86" fillId="0" borderId="0" xfId="141" applyNumberFormat="1" applyFont="1" applyFill="1" applyAlignment="1">
      <alignment horizontal="left"/>
      <protection/>
    </xf>
    <xf numFmtId="49" fontId="8" fillId="0" borderId="0" xfId="141" applyNumberFormat="1" applyFont="1" applyFill="1">
      <alignment/>
      <protection/>
    </xf>
    <xf numFmtId="9" fontId="32" fillId="0" borderId="0" xfId="151" applyFont="1" applyFill="1" applyAlignment="1">
      <alignment/>
    </xf>
    <xf numFmtId="0" fontId="0" fillId="0" borderId="0" xfId="141" applyNumberFormat="1" applyFont="1" applyFill="1" applyAlignment="1">
      <alignment horizontal="left"/>
      <protection/>
    </xf>
    <xf numFmtId="0" fontId="19" fillId="0" borderId="0" xfId="141" applyNumberFormat="1" applyFont="1" applyFill="1" applyAlignment="1">
      <alignment wrapText="1"/>
      <protection/>
    </xf>
    <xf numFmtId="0" fontId="32" fillId="0" borderId="0" xfId="141" applyFont="1" applyFill="1">
      <alignment/>
      <protection/>
    </xf>
    <xf numFmtId="0" fontId="0" fillId="0" borderId="0" xfId="141" applyFont="1" applyFill="1" applyAlignment="1">
      <alignment horizontal="left"/>
      <protection/>
    </xf>
    <xf numFmtId="0" fontId="20" fillId="0" borderId="0" xfId="141" applyFont="1" applyFill="1" applyAlignment="1">
      <alignment/>
      <protection/>
    </xf>
    <xf numFmtId="0" fontId="0" fillId="0" borderId="0" xfId="141" applyFont="1" applyFill="1" applyBorder="1" applyAlignment="1">
      <alignment horizontal="left"/>
      <protection/>
    </xf>
    <xf numFmtId="0" fontId="23" fillId="0" borderId="0" xfId="141" applyFont="1" applyFill="1" applyBorder="1" applyAlignment="1">
      <alignment/>
      <protection/>
    </xf>
    <xf numFmtId="0" fontId="23" fillId="0" borderId="22" xfId="141" applyFont="1" applyFill="1" applyBorder="1" applyAlignment="1">
      <alignment horizontal="left"/>
      <protection/>
    </xf>
    <xf numFmtId="0" fontId="31" fillId="0" borderId="20" xfId="141" applyFont="1" applyFill="1" applyBorder="1" applyAlignment="1">
      <alignment horizontal="center" vertical="center" wrapText="1"/>
      <protection/>
    </xf>
    <xf numFmtId="0" fontId="32" fillId="0" borderId="0" xfId="141" applyFont="1" applyFill="1" applyAlignment="1">
      <alignment vertical="center"/>
      <protection/>
    </xf>
    <xf numFmtId="0" fontId="79" fillId="0" borderId="26" xfId="141" applyFont="1" applyFill="1" applyBorder="1" applyAlignment="1">
      <alignment wrapText="1"/>
      <protection/>
    </xf>
    <xf numFmtId="0" fontId="79" fillId="0" borderId="25" xfId="141" applyFont="1" applyFill="1" applyBorder="1" applyAlignment="1">
      <alignment wrapText="1"/>
      <protection/>
    </xf>
    <xf numFmtId="3" fontId="109" fillId="0" borderId="37" xfId="141" applyNumberFormat="1" applyFont="1" applyFill="1" applyBorder="1" applyAlignment="1">
      <alignment horizontal="center" wrapText="1"/>
      <protection/>
    </xf>
    <xf numFmtId="0" fontId="24" fillId="0" borderId="23" xfId="141" applyFont="1" applyFill="1" applyBorder="1" applyAlignment="1">
      <alignment horizontal="center"/>
      <protection/>
    </xf>
    <xf numFmtId="0" fontId="109" fillId="0" borderId="37" xfId="141" applyFont="1" applyFill="1" applyBorder="1" applyAlignment="1">
      <alignment horizontal="center" wrapText="1"/>
      <protection/>
    </xf>
    <xf numFmtId="0" fontId="10" fillId="0" borderId="23" xfId="141" applyFont="1" applyFill="1" applyBorder="1" applyAlignment="1">
      <alignment horizontal="center" vertical="center"/>
      <protection/>
    </xf>
    <xf numFmtId="0" fontId="1" fillId="0" borderId="0" xfId="141" applyFont="1" applyFill="1">
      <alignment/>
      <protection/>
    </xf>
    <xf numFmtId="0" fontId="36" fillId="0" borderId="0" xfId="141" applyNumberFormat="1" applyFont="1" applyFill="1" applyBorder="1" applyAlignment="1">
      <alignment/>
      <protection/>
    </xf>
    <xf numFmtId="0" fontId="88" fillId="0" borderId="0" xfId="141" applyFont="1" applyFill="1">
      <alignment/>
      <protection/>
    </xf>
    <xf numFmtId="0" fontId="34" fillId="0" borderId="0" xfId="141" applyFont="1" applyFill="1" applyBorder="1" applyAlignment="1">
      <alignment wrapText="1"/>
      <protection/>
    </xf>
    <xf numFmtId="0" fontId="30" fillId="0" borderId="0" xfId="141" applyNumberFormat="1" applyFont="1" applyFill="1" applyBorder="1" applyAlignment="1">
      <alignment/>
      <protection/>
    </xf>
    <xf numFmtId="0" fontId="84" fillId="0" borderId="0" xfId="141" applyFont="1" applyFill="1">
      <alignment/>
      <protection/>
    </xf>
    <xf numFmtId="0" fontId="10" fillId="0" borderId="0" xfId="141" applyFont="1" applyFill="1">
      <alignment/>
      <protection/>
    </xf>
    <xf numFmtId="0" fontId="34" fillId="0" borderId="0" xfId="141" applyFont="1" applyFill="1">
      <alignment/>
      <protection/>
    </xf>
    <xf numFmtId="0" fontId="30" fillId="0" borderId="0" xfId="137" applyFont="1" applyFill="1" applyAlignment="1">
      <alignment/>
      <protection/>
    </xf>
    <xf numFmtId="0" fontId="26" fillId="0" borderId="0" xfId="141" applyFont="1" applyFill="1">
      <alignment/>
      <protection/>
    </xf>
    <xf numFmtId="49" fontId="24" fillId="0" borderId="0" xfId="141" applyNumberFormat="1" applyFont="1" applyFill="1" applyBorder="1" applyAlignment="1">
      <alignment/>
      <protection/>
    </xf>
    <xf numFmtId="49" fontId="24" fillId="0" borderId="0" xfId="141" applyNumberFormat="1" applyFont="1" applyFill="1" applyAlignment="1">
      <alignment horizontal="left"/>
      <protection/>
    </xf>
    <xf numFmtId="49" fontId="24" fillId="0" borderId="0" xfId="141" applyNumberFormat="1" applyFont="1" applyFill="1">
      <alignment/>
      <protection/>
    </xf>
    <xf numFmtId="0" fontId="34" fillId="0" borderId="0" xfId="141" applyNumberFormat="1" applyFont="1" applyFill="1" applyBorder="1" applyAlignment="1">
      <alignment/>
      <protection/>
    </xf>
    <xf numFmtId="49" fontId="32" fillId="0" borderId="0" xfId="141" applyNumberFormat="1" applyFont="1" applyFill="1">
      <alignment/>
      <protection/>
    </xf>
    <xf numFmtId="49" fontId="0" fillId="0" borderId="0" xfId="141" applyNumberFormat="1" applyFont="1" applyFill="1" applyBorder="1" applyAlignment="1">
      <alignment horizontal="left"/>
      <protection/>
    </xf>
    <xf numFmtId="0" fontId="84" fillId="0" borderId="0" xfId="141" applyNumberFormat="1" applyFont="1" applyFill="1">
      <alignment/>
      <protection/>
    </xf>
    <xf numFmtId="0" fontId="34" fillId="0" borderId="0" xfId="141" applyNumberFormat="1" applyFont="1" applyFill="1">
      <alignment/>
      <protection/>
    </xf>
    <xf numFmtId="0" fontId="19" fillId="0" borderId="0" xfId="137" applyNumberFormat="1" applyFont="1" applyFill="1" applyAlignment="1">
      <alignment/>
      <protection/>
    </xf>
    <xf numFmtId="0" fontId="110" fillId="0" borderId="0" xfId="141" applyNumberFormat="1" applyFont="1" applyFill="1">
      <alignment/>
      <protection/>
    </xf>
    <xf numFmtId="0" fontId="0" fillId="0" borderId="0" xfId="141" applyFont="1" applyFill="1" applyBorder="1" applyAlignment="1">
      <alignment horizontal="left"/>
      <protection/>
    </xf>
    <xf numFmtId="3" fontId="17" fillId="0" borderId="20" xfId="141" applyNumberFormat="1" applyFont="1" applyFill="1" applyBorder="1" applyAlignment="1">
      <alignment horizontal="center" vertical="center" wrapText="1"/>
      <protection/>
    </xf>
    <xf numFmtId="3" fontId="29" fillId="0" borderId="20" xfId="141" applyNumberFormat="1" applyFont="1" applyFill="1" applyBorder="1" applyAlignment="1">
      <alignment horizontal="center" vertical="center" wrapText="1"/>
      <protection/>
    </xf>
    <xf numFmtId="3" fontId="39" fillId="49" borderId="20" xfId="0" applyNumberFormat="1" applyFont="1" applyFill="1" applyBorder="1" applyAlignment="1" applyProtection="1">
      <alignment horizontal="right"/>
      <protection locked="0"/>
    </xf>
    <xf numFmtId="3" fontId="39" fillId="49" borderId="20" xfId="0" applyNumberFormat="1" applyFont="1" applyFill="1" applyBorder="1" applyAlignment="1" applyProtection="1">
      <alignment/>
      <protection locked="0"/>
    </xf>
    <xf numFmtId="3" fontId="12" fillId="47" borderId="20" xfId="0" applyNumberFormat="1" applyFont="1" applyFill="1" applyBorder="1" applyAlignment="1" applyProtection="1">
      <alignment/>
      <protection locked="0"/>
    </xf>
    <xf numFmtId="2" fontId="113" fillId="0" borderId="0" xfId="0" applyNumberFormat="1" applyFont="1" applyFill="1" applyAlignment="1">
      <alignment/>
    </xf>
    <xf numFmtId="3" fontId="112" fillId="0" borderId="20" xfId="0" applyNumberFormat="1" applyFont="1" applyFill="1" applyBorder="1" applyAlignment="1" applyProtection="1">
      <alignment/>
      <protection locked="0"/>
    </xf>
    <xf numFmtId="3" fontId="12" fillId="47" borderId="20" xfId="0" applyNumberFormat="1" applyFont="1" applyFill="1" applyBorder="1" applyAlignment="1" applyProtection="1">
      <alignment horizontal="right"/>
      <protection locked="0"/>
    </xf>
    <xf numFmtId="3" fontId="112" fillId="47" borderId="20" xfId="0" applyNumberFormat="1" applyFont="1" applyFill="1" applyBorder="1" applyAlignment="1" applyProtection="1">
      <alignment horizontal="right"/>
      <protection locked="0"/>
    </xf>
    <xf numFmtId="3" fontId="112" fillId="47" borderId="20" xfId="0" applyNumberFormat="1" applyFont="1" applyFill="1" applyBorder="1" applyAlignment="1" applyProtection="1">
      <alignment/>
      <protection locked="0"/>
    </xf>
    <xf numFmtId="3" fontId="39" fillId="49" borderId="21" xfId="0" applyNumberFormat="1" applyFont="1" applyFill="1" applyBorder="1" applyAlignment="1" applyProtection="1">
      <alignment/>
      <protection locked="0"/>
    </xf>
    <xf numFmtId="3" fontId="39" fillId="49" borderId="23" xfId="0" applyNumberFormat="1" applyFont="1" applyFill="1" applyBorder="1" applyAlignment="1" applyProtection="1">
      <alignment/>
      <protection locked="0"/>
    </xf>
    <xf numFmtId="3" fontId="12" fillId="47" borderId="21" xfId="0" applyNumberFormat="1" applyFont="1" applyFill="1" applyBorder="1" applyAlignment="1" applyProtection="1">
      <alignment/>
      <protection locked="0"/>
    </xf>
    <xf numFmtId="3" fontId="8" fillId="47" borderId="23" xfId="0" applyNumberFormat="1" applyFont="1" applyFill="1" applyBorder="1" applyAlignment="1" applyProtection="1">
      <alignment/>
      <protection locked="0"/>
    </xf>
    <xf numFmtId="3" fontId="8" fillId="47" borderId="20" xfId="0" applyNumberFormat="1" applyFont="1" applyFill="1" applyBorder="1" applyAlignment="1" applyProtection="1">
      <alignment/>
      <protection locked="0"/>
    </xf>
    <xf numFmtId="3" fontId="0" fillId="47" borderId="20" xfId="0" applyNumberFormat="1" applyFont="1" applyFill="1" applyBorder="1" applyAlignment="1" applyProtection="1">
      <alignment/>
      <protection locked="0"/>
    </xf>
    <xf numFmtId="3" fontId="112" fillId="47" borderId="21" xfId="0" applyNumberFormat="1" applyFont="1" applyFill="1" applyBorder="1" applyAlignment="1" applyProtection="1">
      <alignment/>
      <protection locked="0"/>
    </xf>
    <xf numFmtId="3" fontId="8" fillId="47" borderId="21" xfId="0" applyNumberFormat="1" applyFont="1" applyFill="1" applyBorder="1" applyAlignment="1" applyProtection="1">
      <alignment/>
      <protection locked="0"/>
    </xf>
    <xf numFmtId="3" fontId="12" fillId="49" borderId="20" xfId="0" applyNumberFormat="1" applyFont="1" applyFill="1" applyBorder="1" applyAlignment="1" applyProtection="1">
      <alignment horizontal="right"/>
      <protection locked="0"/>
    </xf>
    <xf numFmtId="3" fontId="10" fillId="47" borderId="21" xfId="0" applyNumberFormat="1" applyFont="1" applyFill="1" applyBorder="1" applyAlignment="1" applyProtection="1">
      <alignment/>
      <protection/>
    </xf>
    <xf numFmtId="3" fontId="10" fillId="47" borderId="20" xfId="0" applyNumberFormat="1" applyFont="1" applyFill="1" applyBorder="1" applyAlignment="1" applyProtection="1">
      <alignment/>
      <protection locked="0"/>
    </xf>
    <xf numFmtId="3" fontId="10" fillId="47" borderId="20" xfId="0" applyNumberFormat="1" applyFont="1" applyFill="1" applyBorder="1" applyAlignment="1" applyProtection="1">
      <alignment/>
      <protection/>
    </xf>
    <xf numFmtId="3" fontId="10" fillId="47" borderId="23" xfId="0" applyNumberFormat="1" applyFont="1" applyFill="1" applyBorder="1" applyAlignment="1" applyProtection="1">
      <alignment/>
      <protection locked="0"/>
    </xf>
    <xf numFmtId="49" fontId="8" fillId="0" borderId="20" xfId="0" applyNumberFormat="1" applyFont="1" applyFill="1" applyBorder="1" applyAlignment="1" applyProtection="1">
      <alignment vertical="center"/>
      <protection locked="0"/>
    </xf>
    <xf numFmtId="49" fontId="10" fillId="47" borderId="20" xfId="0" applyNumberFormat="1" applyFont="1" applyFill="1" applyBorder="1" applyAlignment="1">
      <alignment horizontal="left"/>
    </xf>
    <xf numFmtId="3" fontId="39" fillId="0" borderId="20" xfId="0" applyNumberFormat="1" applyFont="1" applyFill="1" applyBorder="1" applyAlignment="1" applyProtection="1">
      <alignment horizontal="right"/>
      <protection locked="0"/>
    </xf>
    <xf numFmtId="3" fontId="8" fillId="0" borderId="20" xfId="135" applyNumberFormat="1" applyFont="1" applyFill="1" applyBorder="1" applyAlignment="1" applyProtection="1">
      <alignment horizontal="right" vertical="center"/>
      <protection/>
    </xf>
    <xf numFmtId="3" fontId="8" fillId="0" borderId="20" xfId="135" applyNumberFormat="1" applyFont="1" applyFill="1" applyBorder="1" applyAlignment="1" applyProtection="1">
      <alignment vertical="center"/>
      <protection/>
    </xf>
    <xf numFmtId="3" fontId="12" fillId="47" borderId="20" xfId="0" applyNumberFormat="1" applyFont="1" applyFill="1" applyBorder="1" applyAlignment="1" applyProtection="1">
      <alignment/>
      <protection locked="0"/>
    </xf>
    <xf numFmtId="3" fontId="12" fillId="0" borderId="20" xfId="135" applyNumberFormat="1" applyFont="1" applyFill="1" applyBorder="1" applyAlignment="1" applyProtection="1">
      <alignment vertical="center"/>
      <protection/>
    </xf>
    <xf numFmtId="3" fontId="39" fillId="49" borderId="20" xfId="0" applyNumberFormat="1" applyFont="1" applyFill="1" applyBorder="1" applyAlignment="1" applyProtection="1">
      <alignment/>
      <protection locked="0"/>
    </xf>
    <xf numFmtId="3" fontId="39" fillId="49" borderId="21" xfId="0" applyNumberFormat="1" applyFont="1" applyFill="1" applyBorder="1" applyAlignment="1" applyProtection="1">
      <alignment/>
      <protection locked="0"/>
    </xf>
    <xf numFmtId="3" fontId="39" fillId="49" borderId="23" xfId="0" applyNumberFormat="1" applyFont="1" applyFill="1" applyBorder="1" applyAlignment="1" applyProtection="1">
      <alignment/>
      <protection locked="0"/>
    </xf>
    <xf numFmtId="3" fontId="12" fillId="47" borderId="21" xfId="0" applyNumberFormat="1" applyFont="1" applyFill="1" applyBorder="1" applyAlignment="1" applyProtection="1">
      <alignment/>
      <protection locked="0"/>
    </xf>
    <xf numFmtId="49" fontId="8" fillId="0" borderId="0" xfId="0" applyNumberFormat="1" applyFont="1" applyFill="1" applyAlignment="1">
      <alignment horizontal="right"/>
    </xf>
    <xf numFmtId="49" fontId="8" fillId="0" borderId="39" xfId="0" applyNumberFormat="1" applyFont="1" applyFill="1" applyBorder="1" applyAlignment="1" applyProtection="1">
      <alignment horizontal="center" vertical="center"/>
      <protection/>
    </xf>
    <xf numFmtId="0" fontId="11" fillId="0" borderId="0" xfId="141" applyNumberFormat="1" applyFont="1" applyFill="1" applyBorder="1" applyAlignment="1">
      <alignment horizontal="left"/>
      <protection/>
    </xf>
    <xf numFmtId="0" fontId="10" fillId="0" borderId="0" xfId="141" applyNumberFormat="1" applyFont="1" applyFill="1" applyBorder="1" applyAlignment="1">
      <alignment horizontal="left"/>
      <protection/>
    </xf>
    <xf numFmtId="49" fontId="10" fillId="0" borderId="0" xfId="141" applyNumberFormat="1" applyFont="1" applyFill="1" applyBorder="1" applyAlignment="1">
      <alignment horizontal="left"/>
      <protection/>
    </xf>
    <xf numFmtId="3" fontId="11" fillId="0" borderId="20" xfId="0" applyNumberFormat="1" applyFont="1" applyFill="1" applyBorder="1" applyAlignment="1" applyProtection="1">
      <alignment/>
      <protection/>
    </xf>
    <xf numFmtId="3" fontId="114" fillId="49" borderId="20" xfId="0" applyNumberFormat="1" applyFont="1" applyFill="1" applyBorder="1" applyAlignment="1" applyProtection="1">
      <alignment/>
      <protection locked="0"/>
    </xf>
    <xf numFmtId="3" fontId="114" fillId="49" borderId="20" xfId="0" applyNumberFormat="1" applyFont="1" applyFill="1" applyBorder="1" applyAlignment="1" applyProtection="1">
      <alignment/>
      <protection/>
    </xf>
    <xf numFmtId="3" fontId="114" fillId="49" borderId="23" xfId="0" applyNumberFormat="1" applyFont="1" applyFill="1" applyBorder="1" applyAlignment="1" applyProtection="1">
      <alignment/>
      <protection locked="0"/>
    </xf>
    <xf numFmtId="3" fontId="114" fillId="49" borderId="23" xfId="0" applyNumberFormat="1" applyFont="1" applyFill="1" applyBorder="1" applyAlignment="1" applyProtection="1">
      <alignment/>
      <protection/>
    </xf>
    <xf numFmtId="3" fontId="115" fillId="0" borderId="20" xfId="0" applyNumberFormat="1" applyFont="1" applyFill="1" applyBorder="1" applyAlignment="1" applyProtection="1">
      <alignment/>
      <protection/>
    </xf>
    <xf numFmtId="0" fontId="25" fillId="49" borderId="20" xfId="0" applyFont="1" applyFill="1" applyBorder="1" applyAlignment="1">
      <alignment/>
    </xf>
    <xf numFmtId="0" fontId="0" fillId="49" borderId="40" xfId="0" applyFill="1" applyBorder="1" applyAlignment="1">
      <alignment/>
    </xf>
    <xf numFmtId="2" fontId="65" fillId="0" borderId="0" xfId="0" applyNumberFormat="1" applyFont="1" applyFill="1" applyAlignment="1">
      <alignment/>
    </xf>
    <xf numFmtId="2" fontId="65" fillId="0" borderId="0" xfId="0" applyNumberFormat="1" applyFont="1" applyFill="1" applyAlignment="1">
      <alignment/>
    </xf>
    <xf numFmtId="3" fontId="0" fillId="47" borderId="20" xfId="0" applyNumberFormat="1" applyFont="1" applyFill="1" applyBorder="1" applyAlignment="1" applyProtection="1">
      <alignment/>
      <protection locked="0"/>
    </xf>
    <xf numFmtId="3" fontId="0" fillId="47" borderId="21" xfId="0" applyNumberFormat="1" applyFont="1" applyFill="1" applyBorder="1" applyAlignment="1" applyProtection="1">
      <alignment/>
      <protection locked="0"/>
    </xf>
    <xf numFmtId="3" fontId="0" fillId="47" borderId="23" xfId="0" applyNumberFormat="1" applyFont="1" applyFill="1" applyBorder="1" applyAlignment="1" applyProtection="1">
      <alignment/>
      <protection locked="0"/>
    </xf>
    <xf numFmtId="0" fontId="65" fillId="0" borderId="0" xfId="0" applyFont="1" applyFill="1" applyAlignment="1">
      <alignment/>
    </xf>
    <xf numFmtId="3" fontId="0" fillId="47" borderId="20" xfId="0" applyNumberFormat="1" applyFill="1" applyBorder="1" applyAlignment="1" applyProtection="1">
      <alignment/>
      <protection locked="0"/>
    </xf>
    <xf numFmtId="3" fontId="37" fillId="47" borderId="21" xfId="0" applyNumberFormat="1" applyFont="1" applyFill="1" applyBorder="1" applyAlignment="1" applyProtection="1">
      <alignment/>
      <protection locked="0"/>
    </xf>
    <xf numFmtId="3" fontId="25" fillId="47" borderId="21" xfId="0" applyNumberFormat="1" applyFont="1" applyFill="1" applyBorder="1" applyAlignment="1" applyProtection="1">
      <alignment/>
      <protection locked="0"/>
    </xf>
    <xf numFmtId="174" fontId="11" fillId="47" borderId="21" xfId="0" applyNumberFormat="1" applyFont="1" applyFill="1" applyBorder="1" applyAlignment="1" applyProtection="1">
      <alignment/>
      <protection locked="0"/>
    </xf>
    <xf numFmtId="174" fontId="11" fillId="47" borderId="20" xfId="0" applyNumberFormat="1" applyFont="1" applyFill="1" applyBorder="1" applyAlignment="1" applyProtection="1">
      <alignment/>
      <protection locked="0"/>
    </xf>
    <xf numFmtId="174" fontId="10" fillId="47" borderId="20" xfId="0" applyNumberFormat="1" applyFont="1" applyFill="1" applyBorder="1" applyAlignment="1" applyProtection="1">
      <alignment/>
      <protection locked="0"/>
    </xf>
    <xf numFmtId="174" fontId="11" fillId="47" borderId="23" xfId="0" applyNumberFormat="1" applyFont="1" applyFill="1" applyBorder="1" applyAlignment="1" applyProtection="1">
      <alignment/>
      <protection locked="0"/>
    </xf>
    <xf numFmtId="172" fontId="0" fillId="0" borderId="20" xfId="93" applyNumberFormat="1" applyFont="1" applyBorder="1" applyAlignment="1">
      <alignment/>
    </xf>
    <xf numFmtId="172" fontId="40" fillId="0" borderId="20" xfId="93" applyNumberFormat="1" applyFont="1" applyBorder="1" applyAlignment="1">
      <alignment/>
    </xf>
    <xf numFmtId="174" fontId="10" fillId="50" borderId="20" xfId="0" applyNumberFormat="1" applyFont="1" applyFill="1" applyBorder="1" applyAlignment="1" applyProtection="1">
      <alignment/>
      <protection locked="0"/>
    </xf>
    <xf numFmtId="174" fontId="10" fillId="50" borderId="23" xfId="0" applyNumberFormat="1" applyFont="1" applyFill="1" applyBorder="1" applyAlignment="1" applyProtection="1">
      <alignment/>
      <protection locked="0"/>
    </xf>
    <xf numFmtId="3" fontId="8" fillId="0" borderId="20" xfId="0" applyNumberFormat="1" applyFont="1" applyBorder="1" applyAlignment="1">
      <alignment/>
    </xf>
    <xf numFmtId="3" fontId="0" fillId="47" borderId="21" xfId="0" applyNumberFormat="1" applyFont="1" applyFill="1" applyBorder="1" applyAlignment="1">
      <alignment/>
    </xf>
    <xf numFmtId="3" fontId="112" fillId="0" borderId="20" xfId="0" applyNumberFormat="1" applyFont="1" applyFill="1" applyBorder="1" applyAlignment="1" applyProtection="1">
      <alignment horizontal="right"/>
      <protection locked="0"/>
    </xf>
    <xf numFmtId="172" fontId="0" fillId="48" borderId="20" xfId="93" applyNumberFormat="1" applyFont="1" applyFill="1" applyBorder="1" applyAlignment="1">
      <alignment/>
    </xf>
    <xf numFmtId="172" fontId="0" fillId="0" borderId="20" xfId="93" applyNumberFormat="1" applyFont="1" applyBorder="1" applyAlignment="1">
      <alignment horizontal="center"/>
    </xf>
    <xf numFmtId="172" fontId="40" fillId="0" borderId="23" xfId="93" applyNumberFormat="1" applyFont="1" applyBorder="1" applyAlignment="1">
      <alignment/>
    </xf>
    <xf numFmtId="172" fontId="0" fillId="0" borderId="23" xfId="93" applyNumberFormat="1" applyFont="1" applyBorder="1" applyAlignment="1">
      <alignment/>
    </xf>
    <xf numFmtId="172" fontId="0" fillId="47" borderId="20" xfId="93" applyNumberFormat="1" applyFont="1" applyFill="1" applyBorder="1" applyAlignment="1">
      <alignment/>
    </xf>
    <xf numFmtId="172" fontId="0" fillId="47" borderId="23" xfId="93" applyNumberFormat="1" applyFont="1" applyFill="1" applyBorder="1" applyAlignment="1">
      <alignment/>
    </xf>
    <xf numFmtId="49" fontId="29" fillId="0" borderId="0" xfId="0" applyNumberFormat="1" applyFont="1" applyFill="1" applyAlignment="1">
      <alignment/>
    </xf>
    <xf numFmtId="49" fontId="29" fillId="0" borderId="0" xfId="0" applyNumberFormat="1" applyFont="1" applyFill="1" applyAlignment="1">
      <alignment/>
    </xf>
    <xf numFmtId="49" fontId="29" fillId="0" borderId="0" xfId="0" applyNumberFormat="1" applyFont="1" applyFill="1" applyBorder="1" applyAlignment="1">
      <alignment/>
    </xf>
    <xf numFmtId="49" fontId="109" fillId="0" borderId="0" xfId="0" applyNumberFormat="1" applyFont="1" applyFill="1" applyAlignment="1">
      <alignment/>
    </xf>
    <xf numFmtId="49" fontId="29" fillId="0" borderId="0" xfId="0" applyNumberFormat="1" applyFont="1" applyFill="1" applyAlignment="1">
      <alignment horizontal="center"/>
    </xf>
    <xf numFmtId="49" fontId="17" fillId="0" borderId="0" xfId="0" applyNumberFormat="1" applyFont="1" applyFill="1" applyAlignment="1">
      <alignment/>
    </xf>
    <xf numFmtId="49" fontId="29" fillId="0" borderId="0" xfId="0" applyNumberFormat="1" applyFont="1" applyFill="1" applyAlignment="1">
      <alignment horizontal="right"/>
    </xf>
    <xf numFmtId="49" fontId="29" fillId="0" borderId="20" xfId="0" applyNumberFormat="1" applyFont="1" applyFill="1" applyBorder="1" applyAlignment="1" applyProtection="1">
      <alignment horizontal="center" vertical="center" wrapText="1"/>
      <protection/>
    </xf>
    <xf numFmtId="49" fontId="29" fillId="0" borderId="20" xfId="0" applyNumberFormat="1" applyFont="1" applyFill="1" applyBorder="1" applyAlignment="1">
      <alignment horizontal="center" vertical="center" wrapText="1"/>
    </xf>
    <xf numFmtId="49" fontId="109" fillId="0" borderId="20" xfId="0" applyNumberFormat="1" applyFont="1" applyFill="1" applyBorder="1" applyAlignment="1" applyProtection="1">
      <alignment horizontal="center" vertical="center"/>
      <protection/>
    </xf>
    <xf numFmtId="49" fontId="109" fillId="0" borderId="38" xfId="0" applyNumberFormat="1" applyFont="1" applyFill="1" applyBorder="1" applyAlignment="1" applyProtection="1">
      <alignment horizontal="center" vertical="center"/>
      <protection/>
    </xf>
    <xf numFmtId="172" fontId="17" fillId="48" borderId="20" xfId="93" applyNumberFormat="1" applyFont="1" applyFill="1" applyBorder="1" applyAlignment="1" applyProtection="1">
      <alignment horizontal="center" vertical="center"/>
      <protection locked="0"/>
    </xf>
    <xf numFmtId="172" fontId="29" fillId="0" borderId="20" xfId="93" applyNumberFormat="1" applyFont="1" applyFill="1" applyBorder="1" applyAlignment="1" applyProtection="1">
      <alignment horizontal="center" vertical="center"/>
      <protection locked="0"/>
    </xf>
    <xf numFmtId="0" fontId="29" fillId="0" borderId="41" xfId="135" applyNumberFormat="1" applyFont="1" applyFill="1" applyBorder="1" applyAlignment="1" applyProtection="1">
      <alignment horizontal="center" vertical="center"/>
      <protection/>
    </xf>
    <xf numFmtId="0" fontId="29" fillId="0" borderId="0" xfId="0" applyNumberFormat="1" applyFont="1" applyFill="1" applyBorder="1" applyAlignment="1">
      <alignment horizontal="center" wrapText="1"/>
    </xf>
    <xf numFmtId="0" fontId="17" fillId="0" borderId="0" xfId="0" applyNumberFormat="1" applyFont="1" applyFill="1" applyBorder="1" applyAlignment="1">
      <alignment/>
    </xf>
    <xf numFmtId="0" fontId="17" fillId="0" borderId="0" xfId="0" applyNumberFormat="1" applyFont="1" applyFill="1" applyBorder="1" applyAlignment="1">
      <alignment horizontal="center" wrapText="1"/>
    </xf>
    <xf numFmtId="2" fontId="155" fillId="0" borderId="0" xfId="0" applyNumberFormat="1" applyFont="1" applyFill="1" applyAlignment="1">
      <alignment/>
    </xf>
    <xf numFmtId="0" fontId="155" fillId="0" borderId="0" xfId="0" applyFont="1" applyFill="1" applyAlignment="1">
      <alignment/>
    </xf>
    <xf numFmtId="3" fontId="116" fillId="0" borderId="20" xfId="0" applyNumberFormat="1" applyFont="1" applyFill="1" applyBorder="1" applyAlignment="1" applyProtection="1">
      <alignment/>
      <protection locked="0"/>
    </xf>
    <xf numFmtId="173" fontId="29" fillId="0" borderId="20" xfId="0" applyNumberFormat="1" applyFont="1" applyFill="1" applyBorder="1" applyAlignment="1" applyProtection="1">
      <alignment horizontal="right" vertical="center"/>
      <protection locked="0"/>
    </xf>
    <xf numFmtId="3" fontId="29" fillId="47" borderId="20" xfId="0" applyNumberFormat="1" applyFont="1" applyFill="1" applyBorder="1" applyAlignment="1" applyProtection="1">
      <alignment horizontal="right" vertical="center"/>
      <protection locked="0"/>
    </xf>
    <xf numFmtId="3" fontId="29" fillId="47" borderId="20" xfId="0" applyNumberFormat="1" applyFont="1" applyFill="1" applyBorder="1" applyAlignment="1" applyProtection="1">
      <alignment horizontal="right" vertical="center"/>
      <protection/>
    </xf>
    <xf numFmtId="3" fontId="29" fillId="0" borderId="20" xfId="0" applyNumberFormat="1" applyFont="1" applyFill="1" applyBorder="1" applyAlignment="1" applyProtection="1">
      <alignment horizontal="right" vertical="center"/>
      <protection locked="0"/>
    </xf>
    <xf numFmtId="3" fontId="29" fillId="0" borderId="20" xfId="0" applyNumberFormat="1" applyFont="1" applyFill="1" applyBorder="1" applyAlignment="1" applyProtection="1">
      <alignment horizontal="right" vertical="center"/>
      <protection/>
    </xf>
    <xf numFmtId="173" fontId="29" fillId="47" borderId="20" xfId="0" applyNumberFormat="1" applyFont="1" applyFill="1" applyBorder="1" applyAlignment="1" applyProtection="1">
      <alignment horizontal="right" vertical="center"/>
      <protection locked="0"/>
    </xf>
    <xf numFmtId="3" fontId="29" fillId="47" borderId="20" xfId="148" applyNumberFormat="1" applyFont="1" applyFill="1" applyBorder="1" applyAlignment="1" applyProtection="1">
      <alignment horizontal="right" vertical="center"/>
      <protection/>
    </xf>
    <xf numFmtId="3" fontId="29" fillId="47" borderId="20" xfId="0" applyNumberFormat="1" applyFont="1" applyFill="1" applyBorder="1" applyAlignment="1">
      <alignment horizontal="right" vertical="center"/>
    </xf>
    <xf numFmtId="3" fontId="29" fillId="0" borderId="20" xfId="148" applyNumberFormat="1" applyFont="1" applyFill="1" applyBorder="1" applyAlignment="1" applyProtection="1">
      <alignment horizontal="right" vertical="center"/>
      <protection/>
    </xf>
    <xf numFmtId="3" fontId="25" fillId="47" borderId="20" xfId="0" applyNumberFormat="1" applyFont="1" applyFill="1" applyBorder="1" applyAlignment="1" applyProtection="1">
      <alignment/>
      <protection locked="0"/>
    </xf>
    <xf numFmtId="3" fontId="37" fillId="47" borderId="20" xfId="0" applyNumberFormat="1" applyFont="1" applyFill="1" applyBorder="1" applyAlignment="1" applyProtection="1">
      <alignment/>
      <protection locked="0"/>
    </xf>
    <xf numFmtId="3" fontId="10" fillId="0" borderId="20" xfId="135" applyNumberFormat="1" applyFont="1" applyFill="1" applyBorder="1" applyAlignment="1" applyProtection="1">
      <alignment horizontal="center" vertical="center"/>
      <protection/>
    </xf>
    <xf numFmtId="49" fontId="29" fillId="0" borderId="20" xfId="0" applyNumberFormat="1" applyFont="1" applyFill="1" applyBorder="1" applyAlignment="1" applyProtection="1">
      <alignment vertical="center"/>
      <protection locked="0"/>
    </xf>
    <xf numFmtId="49" fontId="29" fillId="0" borderId="21" xfId="0" applyNumberFormat="1" applyFont="1" applyFill="1" applyBorder="1" applyAlignment="1" applyProtection="1">
      <alignment vertical="center"/>
      <protection locked="0"/>
    </xf>
    <xf numFmtId="49" fontId="29" fillId="0" borderId="20" xfId="138" applyNumberFormat="1" applyFont="1" applyFill="1" applyBorder="1" applyAlignment="1" applyProtection="1">
      <alignment vertical="center"/>
      <protection locked="0"/>
    </xf>
    <xf numFmtId="174" fontId="10" fillId="47" borderId="23" xfId="0" applyNumberFormat="1" applyFont="1" applyFill="1" applyBorder="1" applyAlignment="1" applyProtection="1">
      <alignment/>
      <protection locked="0"/>
    </xf>
    <xf numFmtId="172" fontId="40" fillId="0" borderId="20" xfId="93" applyNumberFormat="1" applyFont="1" applyBorder="1" applyAlignment="1">
      <alignment horizontal="center"/>
    </xf>
    <xf numFmtId="3" fontId="22" fillId="47" borderId="20" xfId="0" applyNumberFormat="1" applyFont="1" applyFill="1" applyBorder="1" applyAlignment="1" applyProtection="1">
      <alignment/>
      <protection locked="0"/>
    </xf>
    <xf numFmtId="3" fontId="7" fillId="47" borderId="20" xfId="0" applyNumberFormat="1" applyFont="1" applyFill="1" applyBorder="1" applyAlignment="1" applyProtection="1">
      <alignment/>
      <protection locked="0"/>
    </xf>
    <xf numFmtId="3" fontId="71" fillId="47" borderId="20" xfId="0" applyNumberFormat="1" applyFont="1" applyFill="1" applyBorder="1" applyAlignment="1" applyProtection="1">
      <alignment/>
      <protection locked="0"/>
    </xf>
    <xf numFmtId="49" fontId="0" fillId="0" borderId="20" xfId="0" applyNumberFormat="1" applyFill="1" applyBorder="1" applyAlignment="1">
      <alignment horizontal="center"/>
    </xf>
    <xf numFmtId="49" fontId="34" fillId="0" borderId="0" xfId="0" applyNumberFormat="1" applyFont="1" applyAlignment="1">
      <alignment horizontal="right"/>
    </xf>
    <xf numFmtId="49" fontId="17" fillId="0" borderId="0" xfId="0" applyNumberFormat="1" applyFont="1" applyFill="1" applyBorder="1" applyAlignment="1">
      <alignment horizontal="center"/>
    </xf>
    <xf numFmtId="2" fontId="11" fillId="0" borderId="0" xfId="0" applyNumberFormat="1" applyFont="1" applyFill="1" applyBorder="1" applyAlignment="1">
      <alignment horizontal="left" wrapText="1"/>
    </xf>
    <xf numFmtId="10" fontId="0" fillId="0" borderId="0" xfId="131" applyNumberFormat="1" applyFont="1" applyFill="1" applyBorder="1" applyAlignment="1">
      <alignment horizontal="right" vertical="center"/>
      <protection/>
    </xf>
    <xf numFmtId="49" fontId="17" fillId="0" borderId="0" xfId="0" applyNumberFormat="1" applyFont="1" applyFill="1" applyBorder="1" applyAlignment="1">
      <alignment horizontal="center" wrapText="1"/>
    </xf>
    <xf numFmtId="2" fontId="17" fillId="0" borderId="0" xfId="0" applyNumberFormat="1" applyFont="1" applyFill="1" applyBorder="1" applyAlignment="1">
      <alignment horizontal="left" wrapText="1"/>
    </xf>
    <xf numFmtId="10" fontId="12" fillId="0" borderId="0" xfId="131" applyNumberFormat="1" applyFont="1" applyFill="1" applyBorder="1" applyAlignment="1">
      <alignment horizontal="right" vertical="center"/>
      <protection/>
    </xf>
    <xf numFmtId="10" fontId="8" fillId="0" borderId="0" xfId="131" applyNumberFormat="1" applyFont="1" applyFill="1" applyBorder="1" applyAlignment="1">
      <alignment horizontal="right" vertical="center"/>
      <protection/>
    </xf>
    <xf numFmtId="174" fontId="10" fillId="50" borderId="21" xfId="0" applyNumberFormat="1" applyFont="1" applyFill="1" applyBorder="1" applyAlignment="1" applyProtection="1">
      <alignment/>
      <protection locked="0"/>
    </xf>
    <xf numFmtId="172" fontId="0" fillId="0" borderId="21" xfId="93" applyNumberFormat="1" applyFont="1" applyFill="1" applyBorder="1" applyAlignment="1">
      <alignment/>
    </xf>
    <xf numFmtId="172" fontId="0" fillId="0" borderId="23" xfId="93" applyNumberFormat="1" applyFont="1" applyBorder="1" applyAlignment="1">
      <alignment/>
    </xf>
    <xf numFmtId="3" fontId="37" fillId="47" borderId="21" xfId="0" applyNumberFormat="1" applyFont="1" applyFill="1" applyBorder="1" applyAlignment="1" applyProtection="1">
      <alignment/>
      <protection/>
    </xf>
    <xf numFmtId="3" fontId="8" fillId="47" borderId="20" xfId="0" applyNumberFormat="1" applyFont="1" applyFill="1" applyBorder="1" applyAlignment="1" applyProtection="1">
      <alignment/>
      <protection/>
    </xf>
    <xf numFmtId="172" fontId="0" fillId="0" borderId="20" xfId="93" applyNumberFormat="1" applyFont="1" applyBorder="1" applyAlignment="1">
      <alignment/>
    </xf>
    <xf numFmtId="172" fontId="0" fillId="48" borderId="21" xfId="93" applyNumberFormat="1" applyFont="1" applyFill="1" applyBorder="1" applyAlignment="1">
      <alignment/>
    </xf>
    <xf numFmtId="172" fontId="0" fillId="47" borderId="20" xfId="93" applyNumberFormat="1" applyFont="1" applyFill="1" applyBorder="1" applyAlignment="1">
      <alignment/>
    </xf>
    <xf numFmtId="172" fontId="0" fillId="38" borderId="21" xfId="93" applyNumberFormat="1" applyFont="1" applyFill="1" applyBorder="1" applyAlignment="1">
      <alignment/>
    </xf>
    <xf numFmtId="172" fontId="40" fillId="47" borderId="20" xfId="93" applyNumberFormat="1" applyFont="1" applyFill="1" applyBorder="1" applyAlignment="1">
      <alignment/>
    </xf>
    <xf numFmtId="172" fontId="40" fillId="11" borderId="20" xfId="93" applyNumberFormat="1" applyFont="1" applyFill="1" applyBorder="1" applyAlignment="1">
      <alignment/>
    </xf>
    <xf numFmtId="172" fontId="40" fillId="47" borderId="23" xfId="93" applyNumberFormat="1" applyFont="1" applyFill="1" applyBorder="1" applyAlignment="1">
      <alignment/>
    </xf>
    <xf numFmtId="172" fontId="0" fillId="47" borderId="23" xfId="93" applyNumberFormat="1" applyFont="1" applyFill="1" applyBorder="1" applyAlignment="1">
      <alignment/>
    </xf>
    <xf numFmtId="172" fontId="40" fillId="11" borderId="23" xfId="93" applyNumberFormat="1" applyFont="1" applyFill="1" applyBorder="1" applyAlignment="1">
      <alignment/>
    </xf>
    <xf numFmtId="172" fontId="8" fillId="0" borderId="20" xfId="93" applyNumberFormat="1" applyFont="1" applyBorder="1" applyAlignment="1">
      <alignment/>
    </xf>
    <xf numFmtId="49" fontId="12" fillId="0" borderId="26" xfId="135" applyNumberFormat="1" applyFont="1" applyFill="1" applyBorder="1" applyAlignment="1">
      <alignment vertical="center" wrapText="1"/>
      <protection/>
    </xf>
    <xf numFmtId="3" fontId="0" fillId="0" borderId="21" xfId="0" applyNumberFormat="1" applyFont="1" applyBorder="1" applyAlignment="1">
      <alignment/>
    </xf>
    <xf numFmtId="3" fontId="29" fillId="47" borderId="20" xfId="0" applyNumberFormat="1" applyFont="1" applyFill="1" applyBorder="1" applyAlignment="1" applyProtection="1">
      <alignment horizontal="center" vertical="center"/>
      <protection/>
    </xf>
    <xf numFmtId="174" fontId="10" fillId="47" borderId="21" xfId="0" applyNumberFormat="1" applyFont="1" applyFill="1" applyBorder="1" applyAlignment="1" applyProtection="1">
      <alignment horizontal="center" vertical="center"/>
      <protection locked="0"/>
    </xf>
    <xf numFmtId="174" fontId="10" fillId="47" borderId="20" xfId="0" applyNumberFormat="1" applyFont="1" applyFill="1" applyBorder="1" applyAlignment="1" applyProtection="1">
      <alignment horizontal="center" vertical="center"/>
      <protection locked="0"/>
    </xf>
    <xf numFmtId="174" fontId="10" fillId="47" borderId="23" xfId="0" applyNumberFormat="1" applyFont="1" applyFill="1" applyBorder="1" applyAlignment="1" applyProtection="1">
      <alignment horizontal="center" vertical="center"/>
      <protection locked="0"/>
    </xf>
    <xf numFmtId="3" fontId="11" fillId="0" borderId="20" xfId="135" applyNumberFormat="1" applyFont="1" applyFill="1" applyBorder="1" applyAlignment="1" applyProtection="1">
      <alignment horizontal="center" vertical="center"/>
      <protection/>
    </xf>
    <xf numFmtId="172" fontId="0" fillId="48" borderId="21" xfId="93" applyNumberFormat="1" applyFont="1" applyFill="1" applyBorder="1" applyAlignment="1">
      <alignment/>
    </xf>
    <xf numFmtId="172" fontId="17" fillId="44" borderId="20" xfId="93" applyNumberFormat="1" applyFont="1" applyFill="1" applyBorder="1" applyAlignment="1" applyProtection="1">
      <alignment vertical="center"/>
      <protection/>
    </xf>
    <xf numFmtId="172" fontId="29" fillId="0" borderId="20" xfId="93" applyNumberFormat="1" applyFont="1" applyFill="1" applyBorder="1" applyAlignment="1" applyProtection="1">
      <alignment vertical="center"/>
      <protection/>
    </xf>
    <xf numFmtId="3" fontId="29" fillId="47" borderId="20" xfId="0" applyNumberFormat="1" applyFont="1" applyFill="1" applyBorder="1" applyAlignment="1" applyProtection="1">
      <alignment horizontal="center" vertical="center"/>
      <protection locked="0"/>
    </xf>
    <xf numFmtId="172" fontId="29" fillId="0" borderId="20" xfId="93" applyNumberFormat="1" applyFont="1" applyFill="1" applyBorder="1" applyAlignment="1" applyProtection="1">
      <alignment horizontal="right" vertical="center"/>
      <protection/>
    </xf>
    <xf numFmtId="49" fontId="8" fillId="47" borderId="20" xfId="0" applyNumberFormat="1" applyFont="1" applyFill="1" applyBorder="1" applyAlignment="1" applyProtection="1">
      <alignment vertical="center"/>
      <protection locked="0"/>
    </xf>
    <xf numFmtId="3" fontId="8" fillId="0" borderId="20" xfId="135" applyNumberFormat="1" applyFont="1" applyFill="1" applyBorder="1" applyAlignment="1" applyProtection="1">
      <alignment vertical="center"/>
      <protection/>
    </xf>
    <xf numFmtId="3" fontId="12" fillId="0" borderId="20" xfId="135" applyNumberFormat="1" applyFont="1" applyFill="1" applyBorder="1" applyAlignment="1" applyProtection="1">
      <alignment vertical="center"/>
      <protection/>
    </xf>
    <xf numFmtId="3" fontId="8" fillId="47" borderId="21" xfId="0" applyNumberFormat="1" applyFont="1" applyFill="1" applyBorder="1" applyAlignment="1" applyProtection="1">
      <alignment/>
      <protection locked="0"/>
    </xf>
    <xf numFmtId="3" fontId="8" fillId="51" borderId="20" xfId="135" applyNumberFormat="1" applyFont="1" applyFill="1" applyBorder="1" applyAlignment="1" applyProtection="1">
      <alignment horizontal="center" vertical="center"/>
      <protection/>
    </xf>
    <xf numFmtId="3" fontId="12" fillId="49" borderId="21" xfId="0" applyNumberFormat="1" applyFont="1" applyFill="1" applyBorder="1" applyAlignment="1" applyProtection="1">
      <alignment/>
      <protection locked="0"/>
    </xf>
    <xf numFmtId="3" fontId="12" fillId="49" borderId="20" xfId="0" applyNumberFormat="1" applyFont="1" applyFill="1" applyBorder="1" applyAlignment="1" applyProtection="1">
      <alignment/>
      <protection locked="0"/>
    </xf>
    <xf numFmtId="3" fontId="12" fillId="49" borderId="21" xfId="0" applyNumberFormat="1" applyFont="1" applyFill="1" applyBorder="1" applyAlignment="1" applyProtection="1">
      <alignment/>
      <protection locked="0"/>
    </xf>
    <xf numFmtId="3" fontId="12" fillId="49" borderId="23" xfId="0" applyNumberFormat="1" applyFont="1" applyFill="1" applyBorder="1" applyAlignment="1" applyProtection="1">
      <alignment/>
      <protection locked="0"/>
    </xf>
    <xf numFmtId="3" fontId="12" fillId="49" borderId="20" xfId="0" applyNumberFormat="1" applyFont="1" applyFill="1" applyBorder="1" applyAlignment="1" applyProtection="1">
      <alignment/>
      <protection locked="0"/>
    </xf>
    <xf numFmtId="3" fontId="12" fillId="0" borderId="20" xfId="0" applyNumberFormat="1" applyFont="1" applyFill="1" applyBorder="1" applyAlignment="1" applyProtection="1">
      <alignment horizontal="right"/>
      <protection locked="0"/>
    </xf>
    <xf numFmtId="3" fontId="8" fillId="0" borderId="20" xfId="0" applyNumberFormat="1" applyFont="1" applyFill="1" applyBorder="1" applyAlignment="1" applyProtection="1">
      <alignment/>
      <protection locked="0"/>
    </xf>
    <xf numFmtId="3" fontId="12" fillId="0" borderId="20" xfId="0" applyNumberFormat="1" applyFont="1" applyFill="1" applyBorder="1" applyAlignment="1" applyProtection="1">
      <alignment/>
      <protection locked="0"/>
    </xf>
    <xf numFmtId="10" fontId="12" fillId="0" borderId="20" xfId="131" applyNumberFormat="1" applyFont="1" applyFill="1" applyBorder="1" applyAlignment="1">
      <alignment horizontal="right" vertical="center"/>
      <protection/>
    </xf>
    <xf numFmtId="3" fontId="10" fillId="0" borderId="20" xfId="0" applyNumberFormat="1" applyFont="1" applyFill="1" applyBorder="1" applyAlignment="1" applyProtection="1">
      <alignment/>
      <protection/>
    </xf>
    <xf numFmtId="3" fontId="11" fillId="49" borderId="20" xfId="0" applyNumberFormat="1" applyFont="1" applyFill="1" applyBorder="1" applyAlignment="1" applyProtection="1">
      <alignment/>
      <protection locked="0"/>
    </xf>
    <xf numFmtId="3" fontId="10" fillId="0" borderId="20" xfId="0" applyNumberFormat="1" applyFont="1" applyFill="1" applyBorder="1" applyAlignment="1" applyProtection="1">
      <alignment/>
      <protection/>
    </xf>
    <xf numFmtId="3" fontId="11" fillId="49" borderId="20" xfId="0" applyNumberFormat="1" applyFont="1" applyFill="1" applyBorder="1" applyAlignment="1" applyProtection="1">
      <alignment/>
      <protection/>
    </xf>
    <xf numFmtId="3" fontId="29" fillId="0" borderId="37" xfId="141" applyNumberFormat="1" applyFont="1" applyFill="1" applyBorder="1" applyAlignment="1">
      <alignment horizontal="center" vertical="center" wrapText="1"/>
      <protection/>
    </xf>
    <xf numFmtId="3" fontId="17" fillId="52" borderId="37" xfId="141" applyNumberFormat="1" applyFont="1" applyFill="1" applyBorder="1" applyAlignment="1">
      <alignment horizontal="center" vertical="center" wrapText="1"/>
      <protection/>
    </xf>
    <xf numFmtId="0" fontId="32" fillId="52" borderId="0" xfId="141" applyFont="1" applyFill="1" applyAlignment="1">
      <alignment vertical="center"/>
      <protection/>
    </xf>
    <xf numFmtId="0" fontId="11" fillId="53" borderId="20" xfId="141" applyFont="1" applyFill="1" applyBorder="1" applyAlignment="1">
      <alignment horizontal="center" vertical="center"/>
      <protection/>
    </xf>
    <xf numFmtId="0" fontId="11" fillId="53" borderId="20" xfId="141" applyFont="1" applyFill="1" applyBorder="1" applyAlignment="1">
      <alignment horizontal="left" vertical="center"/>
      <protection/>
    </xf>
    <xf numFmtId="3" fontId="17" fillId="53" borderId="20" xfId="141" applyNumberFormat="1" applyFont="1" applyFill="1" applyBorder="1" applyAlignment="1">
      <alignment horizontal="center" vertical="center" wrapText="1"/>
      <protection/>
    </xf>
    <xf numFmtId="0" fontId="32" fillId="53" borderId="0" xfId="141" applyFont="1" applyFill="1" applyAlignment="1">
      <alignment vertical="center"/>
      <protection/>
    </xf>
    <xf numFmtId="0" fontId="11" fillId="17" borderId="23" xfId="141" applyFont="1" applyFill="1" applyBorder="1" applyAlignment="1">
      <alignment horizontal="center" vertical="center"/>
      <protection/>
    </xf>
    <xf numFmtId="49" fontId="11" fillId="17" borderId="20" xfId="141" applyNumberFormat="1" applyFont="1" applyFill="1" applyBorder="1" applyAlignment="1">
      <alignment horizontal="left" vertical="center"/>
      <protection/>
    </xf>
    <xf numFmtId="3" fontId="17" fillId="17" borderId="20" xfId="141" applyNumberFormat="1" applyFont="1" applyFill="1" applyBorder="1" applyAlignment="1">
      <alignment horizontal="center" vertical="center" wrapText="1"/>
      <protection/>
    </xf>
    <xf numFmtId="3" fontId="17" fillId="17" borderId="20" xfId="141" applyNumberFormat="1" applyFont="1" applyFill="1" applyBorder="1" applyAlignment="1">
      <alignment horizontal="center" vertical="center" wrapText="1"/>
      <protection/>
    </xf>
    <xf numFmtId="0" fontId="32" fillId="17" borderId="0" xfId="141" applyFont="1" applyFill="1" applyAlignment="1">
      <alignment vertical="center"/>
      <protection/>
    </xf>
    <xf numFmtId="3" fontId="17" fillId="17" borderId="37" xfId="141" applyNumberFormat="1" applyFont="1" applyFill="1" applyBorder="1" applyAlignment="1">
      <alignment horizontal="center" vertical="center" wrapText="1"/>
      <protection/>
    </xf>
    <xf numFmtId="49" fontId="17" fillId="17" borderId="0" xfId="141" applyNumberFormat="1" applyFont="1" applyFill="1" applyBorder="1" applyAlignment="1">
      <alignment vertical="center" textRotation="90" wrapText="1"/>
      <protection/>
    </xf>
    <xf numFmtId="49" fontId="32" fillId="17" borderId="0" xfId="141" applyNumberFormat="1" applyFont="1" applyFill="1" applyBorder="1" applyAlignment="1">
      <alignment vertical="center"/>
      <protection/>
    </xf>
    <xf numFmtId="49" fontId="32" fillId="17" borderId="0" xfId="141" applyNumberFormat="1" applyFont="1" applyFill="1" applyAlignment="1">
      <alignment vertical="center"/>
      <protection/>
    </xf>
    <xf numFmtId="49" fontId="12" fillId="16" borderId="20" xfId="141" applyNumberFormat="1" applyFont="1" applyFill="1" applyBorder="1" applyAlignment="1">
      <alignment horizontal="center" vertical="center"/>
      <protection/>
    </xf>
    <xf numFmtId="49" fontId="11" fillId="16" borderId="20" xfId="141" applyNumberFormat="1" applyFont="1" applyFill="1" applyBorder="1" applyAlignment="1">
      <alignment horizontal="left" vertical="center"/>
      <protection/>
    </xf>
    <xf numFmtId="3" fontId="17" fillId="16" borderId="37" xfId="141" applyNumberFormat="1" applyFont="1" applyFill="1" applyBorder="1" applyAlignment="1">
      <alignment horizontal="center" vertical="center" wrapText="1"/>
      <protection/>
    </xf>
    <xf numFmtId="49" fontId="29" fillId="16" borderId="0" xfId="141" applyNumberFormat="1" applyFont="1" applyFill="1" applyBorder="1" applyAlignment="1">
      <alignment vertical="center" textRotation="90" wrapText="1"/>
      <protection/>
    </xf>
    <xf numFmtId="49" fontId="32" fillId="16" borderId="0" xfId="141" applyNumberFormat="1" applyFont="1" applyFill="1" applyBorder="1" applyAlignment="1">
      <alignment vertical="center"/>
      <protection/>
    </xf>
    <xf numFmtId="49" fontId="32" fillId="16" borderId="0" xfId="141" applyNumberFormat="1" applyFont="1" applyFill="1" applyAlignment="1">
      <alignment vertical="center"/>
      <protection/>
    </xf>
    <xf numFmtId="49" fontId="12" fillId="54" borderId="23" xfId="141" applyNumberFormat="1" applyFont="1" applyFill="1" applyBorder="1" applyAlignment="1">
      <alignment horizontal="center" vertical="center"/>
      <protection/>
    </xf>
    <xf numFmtId="49" fontId="11" fillId="54" borderId="20" xfId="141" applyNumberFormat="1" applyFont="1" applyFill="1" applyBorder="1" applyAlignment="1">
      <alignment horizontal="left" vertical="center"/>
      <protection/>
    </xf>
    <xf numFmtId="3" fontId="17" fillId="54" borderId="37" xfId="141" applyNumberFormat="1" applyFont="1" applyFill="1" applyBorder="1" applyAlignment="1">
      <alignment horizontal="center" vertical="center" wrapText="1"/>
      <protection/>
    </xf>
    <xf numFmtId="49" fontId="32" fillId="54" borderId="0" xfId="141" applyNumberFormat="1" applyFont="1" applyFill="1" applyBorder="1" applyAlignment="1">
      <alignment vertical="center"/>
      <protection/>
    </xf>
    <xf numFmtId="49" fontId="32" fillId="54" borderId="0" xfId="141" applyNumberFormat="1" applyFont="1" applyFill="1" applyAlignment="1">
      <alignment vertical="center"/>
      <protection/>
    </xf>
    <xf numFmtId="3" fontId="12" fillId="0" borderId="20" xfId="0" applyNumberFormat="1" applyFont="1" applyBorder="1" applyAlignment="1">
      <alignment/>
    </xf>
    <xf numFmtId="3" fontId="0" fillId="51" borderId="21" xfId="0" applyNumberFormat="1" applyFont="1" applyFill="1" applyBorder="1" applyAlignment="1">
      <alignment/>
    </xf>
    <xf numFmtId="174" fontId="10" fillId="47" borderId="21" xfId="0" applyNumberFormat="1" applyFont="1" applyFill="1" applyBorder="1" applyAlignment="1" applyProtection="1">
      <alignment/>
      <protection locked="0"/>
    </xf>
    <xf numFmtId="172" fontId="0" fillId="0" borderId="23" xfId="93" applyNumberFormat="1" applyFont="1" applyBorder="1" applyAlignment="1">
      <alignment horizontal="center"/>
    </xf>
    <xf numFmtId="172" fontId="40" fillId="0" borderId="23" xfId="93" applyNumberFormat="1" applyFont="1" applyBorder="1" applyAlignment="1">
      <alignment horizontal="center"/>
    </xf>
    <xf numFmtId="172" fontId="40" fillId="0" borderId="23" xfId="93" applyNumberFormat="1" applyFont="1" applyFill="1" applyBorder="1" applyAlignment="1">
      <alignment/>
    </xf>
    <xf numFmtId="172" fontId="0" fillId="0" borderId="23" xfId="93" applyNumberFormat="1" applyFont="1" applyFill="1" applyBorder="1" applyAlignment="1">
      <alignment/>
    </xf>
    <xf numFmtId="172" fontId="0" fillId="47" borderId="23" xfId="93" applyNumberFormat="1" applyFont="1" applyFill="1" applyBorder="1" applyAlignment="1">
      <alignment horizontal="center"/>
    </xf>
    <xf numFmtId="3" fontId="0" fillId="47" borderId="20" xfId="0" applyNumberFormat="1" applyFont="1" applyFill="1" applyBorder="1" applyAlignment="1">
      <alignment/>
    </xf>
    <xf numFmtId="172" fontId="29" fillId="0" borderId="20" xfId="93" applyNumberFormat="1" applyFont="1" applyFill="1" applyBorder="1" applyAlignment="1" applyProtection="1">
      <alignment horizontal="right" vertical="center"/>
      <protection locked="0"/>
    </xf>
    <xf numFmtId="3" fontId="29" fillId="47" borderId="20" xfId="0" applyNumberFormat="1" applyFont="1" applyFill="1" applyBorder="1" applyAlignment="1">
      <alignment horizontal="right"/>
    </xf>
    <xf numFmtId="3" fontId="156" fillId="47" borderId="21" xfId="0" applyNumberFormat="1" applyFont="1" applyFill="1" applyBorder="1" applyAlignment="1">
      <alignment/>
    </xf>
    <xf numFmtId="172" fontId="29" fillId="48" borderId="20" xfId="93" applyNumberFormat="1" applyFont="1" applyFill="1" applyBorder="1" applyAlignment="1" applyProtection="1">
      <alignment horizontal="center" vertical="center"/>
      <protection locked="0"/>
    </xf>
    <xf numFmtId="172" fontId="12" fillId="38" borderId="20" xfId="93" applyNumberFormat="1" applyFont="1" applyFill="1" applyBorder="1" applyAlignment="1" applyProtection="1">
      <alignment horizontal="right" vertical="center" wrapText="1"/>
      <protection/>
    </xf>
    <xf numFmtId="9" fontId="12" fillId="38" borderId="20" xfId="93" applyNumberFormat="1" applyFont="1" applyFill="1" applyBorder="1" applyAlignment="1" applyProtection="1">
      <alignment horizontal="right" vertical="center" wrapText="1"/>
      <protection/>
    </xf>
    <xf numFmtId="0" fontId="8" fillId="47" borderId="20" xfId="0" applyFont="1" applyFill="1" applyBorder="1" applyAlignment="1" applyProtection="1">
      <alignment vertical="center"/>
      <protection locked="0"/>
    </xf>
    <xf numFmtId="172" fontId="8" fillId="0" borderId="20" xfId="93" applyNumberFormat="1" applyFont="1" applyFill="1" applyBorder="1" applyAlignment="1" applyProtection="1">
      <alignment horizontal="right" vertical="center" wrapText="1"/>
      <protection/>
    </xf>
    <xf numFmtId="173" fontId="8" fillId="0" borderId="20" xfId="0" applyNumberFormat="1" applyFont="1" applyFill="1" applyBorder="1" applyAlignment="1" applyProtection="1">
      <alignment horizontal="right" vertical="center"/>
      <protection locked="0"/>
    </xf>
    <xf numFmtId="174" fontId="8" fillId="47" borderId="20" xfId="0" applyNumberFormat="1" applyFont="1" applyFill="1" applyBorder="1" applyAlignment="1" applyProtection="1">
      <alignment horizontal="right" vertical="center"/>
      <protection locked="0"/>
    </xf>
    <xf numFmtId="3" fontId="8" fillId="47" borderId="20" xfId="0" applyNumberFormat="1" applyFont="1" applyFill="1" applyBorder="1" applyAlignment="1" applyProtection="1">
      <alignment horizontal="right" vertical="center"/>
      <protection/>
    </xf>
    <xf numFmtId="3" fontId="8" fillId="47" borderId="20" xfId="0" applyNumberFormat="1" applyFont="1" applyFill="1" applyBorder="1" applyAlignment="1" applyProtection="1">
      <alignment horizontal="right" vertical="center"/>
      <protection/>
    </xf>
    <xf numFmtId="174" fontId="8" fillId="47" borderId="20" xfId="0" applyNumberFormat="1" applyFont="1" applyFill="1" applyBorder="1" applyAlignment="1" applyProtection="1">
      <alignment horizontal="center" vertical="center"/>
      <protection locked="0"/>
    </xf>
    <xf numFmtId="3" fontId="8" fillId="47" borderId="20" xfId="0" applyNumberFormat="1" applyFont="1" applyFill="1" applyBorder="1" applyAlignment="1" applyProtection="1">
      <alignment horizontal="center" vertical="center"/>
      <protection/>
    </xf>
    <xf numFmtId="3" fontId="8" fillId="47" borderId="20" xfId="148" applyNumberFormat="1" applyFont="1" applyFill="1" applyBorder="1" applyAlignment="1" applyProtection="1">
      <alignment horizontal="center" vertical="center"/>
      <protection/>
    </xf>
    <xf numFmtId="9" fontId="8" fillId="44" borderId="20" xfId="93" applyNumberFormat="1" applyFont="1" applyFill="1" applyBorder="1" applyAlignment="1" applyProtection="1">
      <alignment horizontal="right" vertical="center" wrapText="1"/>
      <protection/>
    </xf>
    <xf numFmtId="174" fontId="8" fillId="0" borderId="20" xfId="0" applyNumberFormat="1" applyFont="1" applyFill="1" applyBorder="1" applyAlignment="1" applyProtection="1">
      <alignment horizontal="right" vertical="center"/>
      <protection locked="0"/>
    </xf>
    <xf numFmtId="3" fontId="8" fillId="0" borderId="20" xfId="0" applyNumberFormat="1" applyFont="1" applyFill="1" applyBorder="1" applyAlignment="1" applyProtection="1">
      <alignment horizontal="right" vertical="center"/>
      <protection/>
    </xf>
    <xf numFmtId="3" fontId="8" fillId="0" borderId="20" xfId="0" applyNumberFormat="1" applyFont="1" applyFill="1" applyBorder="1" applyAlignment="1" applyProtection="1">
      <alignment horizontal="right" vertical="center"/>
      <protection/>
    </xf>
    <xf numFmtId="174" fontId="8" fillId="0" borderId="20" xfId="0" applyNumberFormat="1" applyFont="1" applyFill="1" applyBorder="1" applyAlignment="1" applyProtection="1">
      <alignment horizontal="center" vertical="center"/>
      <protection locked="0"/>
    </xf>
    <xf numFmtId="3" fontId="8" fillId="0" borderId="20" xfId="0" applyNumberFormat="1" applyFont="1" applyFill="1" applyBorder="1" applyAlignment="1" applyProtection="1">
      <alignment horizontal="center" vertical="center"/>
      <protection/>
    </xf>
    <xf numFmtId="3" fontId="8" fillId="0" borderId="20" xfId="148" applyNumberFormat="1" applyFont="1" applyFill="1" applyBorder="1" applyAlignment="1" applyProtection="1">
      <alignment horizontal="center" vertical="center"/>
      <protection/>
    </xf>
    <xf numFmtId="0" fontId="8" fillId="0" borderId="20" xfId="0" applyFont="1" applyFill="1" applyBorder="1" applyAlignment="1" applyProtection="1">
      <alignment vertical="center"/>
      <protection locked="0"/>
    </xf>
    <xf numFmtId="0" fontId="8" fillId="47" borderId="26" xfId="0" applyFont="1" applyFill="1" applyBorder="1" applyAlignment="1" applyProtection="1">
      <alignment vertical="center"/>
      <protection locked="0"/>
    </xf>
    <xf numFmtId="49" fontId="12" fillId="0" borderId="42" xfId="135" applyNumberFormat="1" applyFont="1" applyFill="1" applyBorder="1" applyAlignment="1">
      <alignment horizontal="right" vertical="center" wrapText="1"/>
      <protection/>
    </xf>
    <xf numFmtId="49" fontId="12" fillId="0" borderId="25" xfId="135" applyNumberFormat="1" applyFont="1" applyFill="1" applyBorder="1" applyAlignment="1">
      <alignment horizontal="right" vertical="center" wrapText="1"/>
      <protection/>
    </xf>
    <xf numFmtId="49" fontId="8" fillId="0" borderId="21" xfId="0" applyNumberFormat="1" applyFont="1" applyFill="1" applyBorder="1" applyAlignment="1" applyProtection="1">
      <alignment vertical="center"/>
      <protection locked="0"/>
    </xf>
    <xf numFmtId="172" fontId="12" fillId="48" borderId="26" xfId="93" applyNumberFormat="1" applyFont="1" applyFill="1" applyBorder="1" applyAlignment="1" applyProtection="1">
      <alignment horizontal="left" vertical="center" wrapText="1"/>
      <protection locked="0"/>
    </xf>
    <xf numFmtId="172" fontId="12" fillId="0" borderId="20" xfId="93" applyNumberFormat="1" applyFont="1" applyFill="1" applyBorder="1" applyAlignment="1" applyProtection="1">
      <alignment horizontal="right" vertical="center" wrapText="1"/>
      <protection/>
    </xf>
    <xf numFmtId="3" fontId="8" fillId="51" borderId="20" xfId="0" applyNumberFormat="1" applyFont="1" applyFill="1" applyBorder="1" applyAlignment="1" applyProtection="1">
      <alignment horizontal="right" vertical="center"/>
      <protection/>
    </xf>
    <xf numFmtId="172" fontId="12" fillId="38" borderId="20" xfId="93" applyNumberFormat="1" applyFont="1" applyFill="1" applyBorder="1" applyAlignment="1" applyProtection="1">
      <alignment horizontal="right" vertical="center" wrapText="1"/>
      <protection/>
    </xf>
    <xf numFmtId="49" fontId="8" fillId="47" borderId="20" xfId="138" applyNumberFormat="1" applyFont="1" applyFill="1" applyBorder="1" applyAlignment="1" applyProtection="1">
      <alignment vertical="center"/>
      <protection locked="0"/>
    </xf>
    <xf numFmtId="3" fontId="8" fillId="0" borderId="20" xfId="135" applyNumberFormat="1" applyFont="1" applyFill="1" applyBorder="1" applyAlignment="1" applyProtection="1">
      <alignment horizontal="right" vertical="center"/>
      <protection/>
    </xf>
    <xf numFmtId="172" fontId="8" fillId="0" borderId="20" xfId="93" applyNumberFormat="1" applyFont="1" applyFill="1" applyBorder="1" applyAlignment="1" applyProtection="1">
      <alignment horizontal="right" vertical="center" wrapText="1"/>
      <protection/>
    </xf>
    <xf numFmtId="174" fontId="8" fillId="47" borderId="20" xfId="0" applyNumberFormat="1" applyFont="1" applyFill="1" applyBorder="1" applyAlignment="1" applyProtection="1">
      <alignment horizontal="right" vertical="center"/>
      <protection locked="0"/>
    </xf>
    <xf numFmtId="174" fontId="8" fillId="47" borderId="20" xfId="149" applyNumberFormat="1" applyFont="1" applyFill="1" applyBorder="1" applyAlignment="1" applyProtection="1">
      <alignment horizontal="right" vertical="center"/>
      <protection locked="0"/>
    </xf>
    <xf numFmtId="9" fontId="8" fillId="44" borderId="20" xfId="93" applyNumberFormat="1" applyFont="1" applyFill="1" applyBorder="1" applyAlignment="1" applyProtection="1">
      <alignment horizontal="right" vertical="center" wrapText="1"/>
      <protection/>
    </xf>
    <xf numFmtId="49" fontId="8" fillId="47" borderId="20" xfId="0" applyNumberFormat="1" applyFont="1" applyFill="1" applyBorder="1" applyAlignment="1" applyProtection="1">
      <alignment horizontal="center" vertical="center"/>
      <protection locked="0"/>
    </xf>
    <xf numFmtId="49" fontId="8" fillId="47" borderId="20" xfId="0" applyNumberFormat="1" applyFont="1" applyFill="1" applyBorder="1" applyAlignment="1" applyProtection="1">
      <alignment horizontal="left" vertical="center"/>
      <protection locked="0"/>
    </xf>
    <xf numFmtId="3" fontId="8" fillId="47" borderId="20" xfId="148" applyNumberFormat="1" applyFont="1" applyFill="1" applyBorder="1" applyAlignment="1" applyProtection="1">
      <alignment horizontal="right" vertical="center"/>
      <protection/>
    </xf>
    <xf numFmtId="3" fontId="8" fillId="47" borderId="20" xfId="0" applyNumberFormat="1" applyFont="1" applyFill="1" applyBorder="1" applyAlignment="1">
      <alignment horizontal="right" vertical="center"/>
    </xf>
    <xf numFmtId="3" fontId="8" fillId="47" borderId="20" xfId="0" applyNumberFormat="1" applyFont="1" applyFill="1" applyBorder="1" applyAlignment="1">
      <alignment horizontal="right"/>
    </xf>
    <xf numFmtId="9" fontId="8" fillId="49" borderId="20" xfId="93" applyNumberFormat="1" applyFont="1" applyFill="1" applyBorder="1" applyAlignment="1" applyProtection="1">
      <alignment horizontal="right" vertical="center" wrapText="1"/>
      <protection/>
    </xf>
    <xf numFmtId="172" fontId="12" fillId="55" borderId="20" xfId="93" applyNumberFormat="1" applyFont="1" applyFill="1" applyBorder="1" applyAlignment="1" applyProtection="1">
      <alignment horizontal="right" vertical="center" wrapText="1"/>
      <protection/>
    </xf>
    <xf numFmtId="9" fontId="12" fillId="38" borderId="20" xfId="93" applyNumberFormat="1" applyFont="1" applyFill="1" applyBorder="1" applyAlignment="1" applyProtection="1">
      <alignment vertical="center" wrapText="1"/>
      <protection/>
    </xf>
    <xf numFmtId="0" fontId="8" fillId="0" borderId="20" xfId="0" applyNumberFormat="1" applyFont="1" applyFill="1" applyBorder="1" applyAlignment="1" applyProtection="1">
      <alignment horizontal="right" vertical="center"/>
      <protection/>
    </xf>
    <xf numFmtId="0" fontId="106" fillId="0" borderId="20" xfId="0" applyNumberFormat="1" applyFont="1" applyFill="1" applyBorder="1" applyAlignment="1" applyProtection="1">
      <alignment horizontal="right" vertical="center"/>
      <protection/>
    </xf>
    <xf numFmtId="9" fontId="8" fillId="44" borderId="20" xfId="93" applyNumberFormat="1" applyFont="1" applyFill="1" applyBorder="1" applyAlignment="1" applyProtection="1">
      <alignment vertical="center" wrapText="1"/>
      <protection/>
    </xf>
    <xf numFmtId="0" fontId="8" fillId="51" borderId="20" xfId="0" applyNumberFormat="1" applyFont="1" applyFill="1" applyBorder="1" applyAlignment="1" applyProtection="1">
      <alignment horizontal="right" vertical="center"/>
      <protection/>
    </xf>
    <xf numFmtId="174" fontId="8" fillId="51" borderId="20" xfId="0" applyNumberFormat="1" applyFont="1" applyFill="1" applyBorder="1" applyAlignment="1" applyProtection="1">
      <alignment horizontal="right"/>
      <protection/>
    </xf>
    <xf numFmtId="3" fontId="29" fillId="51" borderId="20" xfId="0" applyNumberFormat="1" applyFont="1" applyFill="1" applyBorder="1" applyAlignment="1" applyProtection="1">
      <alignment horizontal="right" vertical="center"/>
      <protection/>
    </xf>
    <xf numFmtId="172" fontId="17" fillId="44" borderId="20" xfId="93" applyNumberFormat="1" applyFont="1" applyFill="1" applyBorder="1" applyAlignment="1" applyProtection="1">
      <alignment horizontal="center" vertical="center"/>
      <protection/>
    </xf>
    <xf numFmtId="172" fontId="17" fillId="38" borderId="20" xfId="93" applyNumberFormat="1" applyFont="1" applyFill="1" applyBorder="1" applyAlignment="1" applyProtection="1">
      <alignment vertical="center"/>
      <protection/>
    </xf>
    <xf numFmtId="172" fontId="17" fillId="55" borderId="20" xfId="93" applyNumberFormat="1" applyFont="1" applyFill="1" applyBorder="1" applyAlignment="1" applyProtection="1">
      <alignment vertical="center"/>
      <protection/>
    </xf>
    <xf numFmtId="9" fontId="17" fillId="38" borderId="20" xfId="148" applyNumberFormat="1" applyFont="1" applyFill="1" applyBorder="1" applyAlignment="1" applyProtection="1">
      <alignment vertical="center"/>
      <protection/>
    </xf>
    <xf numFmtId="172" fontId="17" fillId="48" borderId="26" xfId="93" applyNumberFormat="1" applyFont="1" applyFill="1" applyBorder="1" applyAlignment="1" applyProtection="1">
      <alignment horizontal="left" vertical="center" wrapText="1"/>
      <protection locked="0"/>
    </xf>
    <xf numFmtId="0" fontId="29" fillId="47" borderId="20" xfId="0" applyFont="1" applyFill="1" applyBorder="1" applyAlignment="1" applyProtection="1">
      <alignment vertical="center"/>
      <protection locked="0"/>
    </xf>
    <xf numFmtId="9" fontId="29" fillId="44" borderId="20" xfId="148" applyNumberFormat="1" applyFont="1" applyFill="1" applyBorder="1" applyAlignment="1" applyProtection="1">
      <alignment vertical="center"/>
      <protection/>
    </xf>
    <xf numFmtId="0" fontId="29" fillId="0" borderId="20" xfId="0" applyFont="1" applyFill="1" applyBorder="1" applyAlignment="1" applyProtection="1">
      <alignment vertical="center"/>
      <protection locked="0"/>
    </xf>
    <xf numFmtId="0" fontId="29" fillId="47" borderId="26" xfId="0" applyFont="1" applyFill="1" applyBorder="1" applyAlignment="1" applyProtection="1">
      <alignment vertical="center"/>
      <protection locked="0"/>
    </xf>
    <xf numFmtId="172" fontId="17" fillId="0" borderId="20" xfId="93" applyNumberFormat="1" applyFont="1" applyFill="1" applyBorder="1" applyAlignment="1" applyProtection="1">
      <alignment horizontal="center" vertical="center"/>
      <protection locked="0"/>
    </xf>
    <xf numFmtId="172" fontId="17" fillId="55" borderId="20" xfId="93" applyNumberFormat="1" applyFont="1" applyFill="1" applyBorder="1" applyAlignment="1" applyProtection="1">
      <alignment vertical="center"/>
      <protection/>
    </xf>
    <xf numFmtId="172" fontId="17" fillId="38" borderId="20" xfId="93" applyNumberFormat="1" applyFont="1" applyFill="1" applyBorder="1" applyAlignment="1" applyProtection="1">
      <alignment vertical="center"/>
      <protection/>
    </xf>
    <xf numFmtId="9" fontId="17" fillId="38" borderId="20" xfId="148" applyNumberFormat="1" applyFont="1" applyFill="1" applyBorder="1" applyAlignment="1" applyProtection="1">
      <alignment vertical="center"/>
      <protection/>
    </xf>
    <xf numFmtId="3" fontId="29" fillId="0" borderId="20" xfId="135" applyNumberFormat="1" applyFont="1" applyFill="1" applyBorder="1" applyAlignment="1" applyProtection="1">
      <alignment horizontal="center" vertical="center"/>
      <protection/>
    </xf>
    <xf numFmtId="3" fontId="29" fillId="0" borderId="20" xfId="135" applyNumberFormat="1" applyFont="1" applyFill="1" applyBorder="1" applyAlignment="1" applyProtection="1">
      <alignment horizontal="right" vertical="center"/>
      <protection/>
    </xf>
    <xf numFmtId="3" fontId="29" fillId="0" borderId="20" xfId="135" applyNumberFormat="1" applyFont="1" applyFill="1" applyBorder="1" applyAlignment="1" applyProtection="1">
      <alignment horizontal="right" vertical="center"/>
      <protection/>
    </xf>
    <xf numFmtId="3" fontId="29" fillId="0" borderId="20" xfId="135" applyNumberFormat="1" applyFont="1" applyFill="1" applyBorder="1" applyAlignment="1" applyProtection="1">
      <alignment horizontal="center" vertical="center"/>
      <protection/>
    </xf>
    <xf numFmtId="172" fontId="29" fillId="0" borderId="20" xfId="93" applyNumberFormat="1" applyFont="1" applyFill="1" applyBorder="1" applyAlignment="1" applyProtection="1">
      <alignment vertical="center"/>
      <protection/>
    </xf>
    <xf numFmtId="3" fontId="29" fillId="47" borderId="20" xfId="0" applyNumberFormat="1" applyFont="1" applyFill="1" applyBorder="1" applyAlignment="1" applyProtection="1">
      <alignment vertical="center"/>
      <protection locked="0"/>
    </xf>
    <xf numFmtId="172" fontId="17" fillId="38" borderId="20" xfId="93" applyNumberFormat="1" applyFont="1" applyFill="1" applyBorder="1" applyAlignment="1" applyProtection="1">
      <alignment horizontal="right" vertical="center"/>
      <protection/>
    </xf>
    <xf numFmtId="49" fontId="29" fillId="47" borderId="20" xfId="0" applyNumberFormat="1" applyFont="1" applyFill="1" applyBorder="1" applyAlignment="1" applyProtection="1">
      <alignment vertical="center"/>
      <protection locked="0"/>
    </xf>
    <xf numFmtId="3" fontId="29" fillId="47" borderId="20" xfId="149" applyNumberFormat="1" applyFont="1" applyFill="1" applyBorder="1" applyAlignment="1" applyProtection="1">
      <alignment horizontal="right" vertical="center"/>
      <protection locked="0"/>
    </xf>
    <xf numFmtId="3" fontId="29" fillId="51" borderId="20" xfId="0" applyNumberFormat="1" applyFont="1" applyFill="1" applyBorder="1" applyAlignment="1" applyProtection="1">
      <alignment horizontal="right"/>
      <protection/>
    </xf>
    <xf numFmtId="49" fontId="29" fillId="47" borderId="20" xfId="0" applyNumberFormat="1" applyFont="1" applyFill="1" applyBorder="1" applyAlignment="1" applyProtection="1">
      <alignment horizontal="left" vertical="center"/>
      <protection locked="0"/>
    </xf>
    <xf numFmtId="3" fontId="29" fillId="47" borderId="20" xfId="0" applyNumberFormat="1" applyFont="1" applyFill="1" applyBorder="1" applyAlignment="1" applyProtection="1">
      <alignment vertical="center"/>
      <protection locked="0"/>
    </xf>
    <xf numFmtId="3" fontId="5" fillId="47" borderId="20" xfId="0" applyNumberFormat="1" applyFont="1" applyFill="1" applyBorder="1" applyAlignment="1" applyProtection="1">
      <alignment horizontal="right" vertical="center"/>
      <protection/>
    </xf>
    <xf numFmtId="3" fontId="5" fillId="47" borderId="20" xfId="0" applyNumberFormat="1" applyFont="1" applyFill="1" applyBorder="1" applyAlignment="1" applyProtection="1">
      <alignment horizontal="center" vertical="center"/>
      <protection/>
    </xf>
    <xf numFmtId="3" fontId="5" fillId="47" borderId="20" xfId="148" applyNumberFormat="1" applyFont="1" applyFill="1" applyBorder="1" applyAlignment="1" applyProtection="1">
      <alignment horizontal="right" vertical="center"/>
      <protection/>
    </xf>
    <xf numFmtId="0" fontId="29" fillId="47" borderId="20" xfId="0" applyFont="1" applyFill="1" applyBorder="1" applyAlignment="1" applyProtection="1">
      <alignment vertical="center"/>
      <protection locked="0"/>
    </xf>
    <xf numFmtId="3" fontId="5" fillId="0" borderId="20" xfId="0" applyNumberFormat="1" applyFont="1" applyFill="1" applyBorder="1" applyAlignment="1" applyProtection="1">
      <alignment horizontal="right" vertical="center"/>
      <protection locked="0"/>
    </xf>
    <xf numFmtId="3" fontId="29" fillId="0" borderId="20" xfId="148" applyNumberFormat="1" applyFont="1" applyFill="1" applyBorder="1" applyAlignment="1" applyProtection="1">
      <alignment horizontal="right" vertical="center"/>
      <protection locked="0"/>
    </xf>
    <xf numFmtId="3" fontId="117" fillId="0" borderId="20" xfId="0" applyNumberFormat="1" applyFont="1" applyFill="1" applyBorder="1" applyAlignment="1" applyProtection="1">
      <alignment horizontal="right" vertical="center"/>
      <protection/>
    </xf>
    <xf numFmtId="3" fontId="8" fillId="47" borderId="21" xfId="0" applyNumberFormat="1" applyFont="1" applyFill="1" applyBorder="1" applyAlignment="1" applyProtection="1">
      <alignment/>
      <protection locked="0"/>
    </xf>
    <xf numFmtId="3" fontId="112" fillId="47" borderId="21" xfId="0" applyNumberFormat="1" applyFont="1" applyFill="1" applyBorder="1" applyAlignment="1" applyProtection="1">
      <alignment/>
      <protection locked="0"/>
    </xf>
    <xf numFmtId="3" fontId="8" fillId="47" borderId="20" xfId="0" applyNumberFormat="1" applyFont="1" applyFill="1" applyBorder="1" applyAlignment="1" applyProtection="1">
      <alignment/>
      <protection locked="0"/>
    </xf>
    <xf numFmtId="49" fontId="12" fillId="0" borderId="23" xfId="0" applyNumberFormat="1" applyFont="1" applyFill="1" applyBorder="1" applyAlignment="1">
      <alignment horizontal="center"/>
    </xf>
    <xf numFmtId="2" fontId="12" fillId="0" borderId="23" xfId="0" applyNumberFormat="1" applyFont="1" applyFill="1" applyBorder="1" applyAlignment="1">
      <alignment horizontal="left"/>
    </xf>
    <xf numFmtId="2" fontId="8" fillId="0" borderId="0" xfId="0" applyNumberFormat="1" applyFont="1" applyFill="1" applyBorder="1" applyAlignment="1">
      <alignment/>
    </xf>
    <xf numFmtId="2" fontId="106" fillId="0" borderId="0" xfId="0" applyNumberFormat="1" applyFont="1" applyFill="1" applyAlignment="1">
      <alignment/>
    </xf>
    <xf numFmtId="49" fontId="8" fillId="0" borderId="20" xfId="0" applyNumberFormat="1" applyFont="1" applyFill="1" applyBorder="1" applyAlignment="1">
      <alignment horizontal="center"/>
    </xf>
    <xf numFmtId="1" fontId="8" fillId="0" borderId="20" xfId="0" applyNumberFormat="1" applyFont="1" applyFill="1" applyBorder="1" applyAlignment="1">
      <alignment horizontal="left"/>
    </xf>
    <xf numFmtId="1" fontId="12" fillId="0" borderId="20" xfId="0" applyNumberFormat="1" applyFont="1" applyFill="1" applyBorder="1" applyAlignment="1">
      <alignment horizontal="left"/>
    </xf>
    <xf numFmtId="1" fontId="12" fillId="0" borderId="26" xfId="0" applyNumberFormat="1" applyFont="1" applyFill="1" applyBorder="1" applyAlignment="1">
      <alignment horizontal="left"/>
    </xf>
    <xf numFmtId="2" fontId="8" fillId="0" borderId="20" xfId="0" applyNumberFormat="1" applyFont="1" applyFill="1" applyBorder="1" applyAlignment="1">
      <alignment horizontal="left" vertical="center" wrapText="1"/>
    </xf>
    <xf numFmtId="49" fontId="12" fillId="0" borderId="26" xfId="0" applyNumberFormat="1" applyFont="1" applyFill="1" applyBorder="1" applyAlignment="1">
      <alignment horizontal="center" wrapText="1"/>
    </xf>
    <xf numFmtId="2" fontId="12" fillId="0" borderId="26" xfId="0" applyNumberFormat="1" applyFont="1" applyFill="1" applyBorder="1" applyAlignment="1">
      <alignment horizontal="left" wrapText="1"/>
    </xf>
    <xf numFmtId="49" fontId="106" fillId="0" borderId="0" xfId="0" applyNumberFormat="1" applyFont="1" applyFill="1" applyAlignment="1">
      <alignment/>
    </xf>
    <xf numFmtId="2" fontId="118" fillId="0" borderId="0" xfId="0" applyNumberFormat="1" applyFont="1" applyFill="1" applyAlignment="1">
      <alignment/>
    </xf>
    <xf numFmtId="1" fontId="8" fillId="0" borderId="25" xfId="0" applyNumberFormat="1" applyFont="1" applyFill="1" applyBorder="1" applyAlignment="1">
      <alignment horizontal="center" vertical="center"/>
    </xf>
    <xf numFmtId="174" fontId="12" fillId="56" borderId="21" xfId="0" applyNumberFormat="1" applyFont="1" applyFill="1" applyBorder="1" applyAlignment="1" applyProtection="1">
      <alignment/>
      <protection locked="0"/>
    </xf>
    <xf numFmtId="174" fontId="8" fillId="56" borderId="20" xfId="0" applyNumberFormat="1" applyFont="1" applyFill="1" applyBorder="1" applyAlignment="1" applyProtection="1">
      <alignment/>
      <protection locked="0"/>
    </xf>
    <xf numFmtId="174" fontId="8" fillId="56" borderId="20" xfId="0" applyNumberFormat="1" applyFont="1" applyFill="1" applyBorder="1" applyAlignment="1" applyProtection="1">
      <alignment horizontal="right"/>
      <protection locked="0"/>
    </xf>
    <xf numFmtId="174" fontId="12" fillId="56" borderId="20" xfId="0" applyNumberFormat="1" applyFont="1" applyFill="1" applyBorder="1" applyAlignment="1" applyProtection="1">
      <alignment/>
      <protection locked="0"/>
    </xf>
    <xf numFmtId="174" fontId="12" fillId="56" borderId="20" xfId="0" applyNumberFormat="1" applyFont="1" applyFill="1" applyBorder="1" applyAlignment="1" applyProtection="1">
      <alignment/>
      <protection/>
    </xf>
    <xf numFmtId="174" fontId="8" fillId="56" borderId="23" xfId="0" applyNumberFormat="1" applyFont="1" applyFill="1" applyBorder="1" applyAlignment="1" applyProtection="1">
      <alignment/>
      <protection locked="0"/>
    </xf>
    <xf numFmtId="3" fontId="8" fillId="47" borderId="21" xfId="0" applyNumberFormat="1" applyFont="1" applyFill="1" applyBorder="1" applyAlignment="1">
      <alignment/>
    </xf>
    <xf numFmtId="3" fontId="12" fillId="47" borderId="21" xfId="0" applyNumberFormat="1" applyFont="1" applyFill="1" applyBorder="1" applyAlignment="1">
      <alignment/>
    </xf>
    <xf numFmtId="174" fontId="8" fillId="56" borderId="21" xfId="0" applyNumberFormat="1" applyFont="1" applyFill="1" applyBorder="1" applyAlignment="1" applyProtection="1">
      <alignment/>
      <protection locked="0"/>
    </xf>
    <xf numFmtId="174" fontId="12" fillId="56" borderId="23" xfId="0" applyNumberFormat="1" applyFont="1" applyFill="1" applyBorder="1" applyAlignment="1" applyProtection="1">
      <alignment/>
      <protection locked="0"/>
    </xf>
    <xf numFmtId="172" fontId="8" fillId="48" borderId="21" xfId="93" applyNumberFormat="1" applyFont="1" applyFill="1" applyBorder="1" applyAlignment="1">
      <alignment/>
    </xf>
    <xf numFmtId="172" fontId="8" fillId="48" borderId="21" xfId="93" applyNumberFormat="1" applyFont="1" applyFill="1" applyBorder="1" applyAlignment="1">
      <alignment horizontal="right"/>
    </xf>
    <xf numFmtId="172" fontId="8" fillId="0" borderId="21" xfId="93" applyNumberFormat="1" applyFont="1" applyFill="1" applyBorder="1" applyAlignment="1">
      <alignment/>
    </xf>
    <xf numFmtId="172" fontId="8" fillId="48" borderId="20" xfId="93" applyNumberFormat="1" applyFont="1" applyFill="1" applyBorder="1" applyAlignment="1">
      <alignment/>
    </xf>
    <xf numFmtId="172" fontId="8" fillId="0" borderId="20" xfId="93" applyNumberFormat="1" applyFont="1" applyFill="1" applyBorder="1" applyAlignment="1">
      <alignment/>
    </xf>
    <xf numFmtId="172" fontId="8" fillId="0" borderId="23" xfId="93" applyNumberFormat="1" applyFont="1" applyBorder="1" applyAlignment="1">
      <alignment/>
    </xf>
    <xf numFmtId="172" fontId="8" fillId="0" borderId="23" xfId="93" applyNumberFormat="1" applyFont="1" applyBorder="1" applyAlignment="1">
      <alignment horizontal="right"/>
    </xf>
    <xf numFmtId="2" fontId="12" fillId="0" borderId="20" xfId="0" applyNumberFormat="1" applyFont="1" applyFill="1" applyBorder="1" applyAlignment="1">
      <alignment horizontal="left"/>
    </xf>
    <xf numFmtId="49" fontId="12" fillId="0" borderId="20" xfId="0" applyNumberFormat="1" applyFont="1" applyFill="1" applyBorder="1" applyAlignment="1">
      <alignment horizontal="center" wrapText="1"/>
    </xf>
    <xf numFmtId="2" fontId="12" fillId="0" borderId="20" xfId="0" applyNumberFormat="1" applyFont="1" applyFill="1" applyBorder="1" applyAlignment="1">
      <alignment horizontal="left" wrapText="1"/>
    </xf>
    <xf numFmtId="2" fontId="106" fillId="0" borderId="0" xfId="0" applyNumberFormat="1" applyFont="1" applyFill="1" applyBorder="1" applyAlignment="1">
      <alignment/>
    </xf>
    <xf numFmtId="3" fontId="8" fillId="0" borderId="20" xfId="0" applyNumberFormat="1" applyFont="1" applyFill="1" applyBorder="1" applyAlignment="1" applyProtection="1">
      <alignment/>
      <protection locked="0"/>
    </xf>
    <xf numFmtId="3" fontId="8" fillId="47" borderId="20" xfId="0" applyNumberFormat="1" applyFont="1" applyFill="1" applyBorder="1" applyAlignment="1" applyProtection="1">
      <alignment/>
      <protection locked="0"/>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3"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2"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8" fillId="0" borderId="40" xfId="0" applyFont="1" applyFill="1" applyBorder="1" applyAlignment="1">
      <alignment/>
    </xf>
    <xf numFmtId="49" fontId="12" fillId="0" borderId="26" xfId="0" applyNumberFormat="1" applyFont="1" applyFill="1" applyBorder="1" applyAlignment="1">
      <alignment horizontal="center" vertic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30" fillId="0" borderId="0" xfId="136" applyNumberFormat="1" applyFont="1" applyBorder="1" applyAlignment="1">
      <alignment horizontal="center" wrapText="1"/>
      <protection/>
    </xf>
    <xf numFmtId="49" fontId="70" fillId="0" borderId="0" xfId="136" applyNumberFormat="1" applyFont="1" applyBorder="1" applyAlignment="1">
      <alignment horizontal="center" wrapText="1"/>
      <protection/>
    </xf>
    <xf numFmtId="49" fontId="45" fillId="0" borderId="0" xfId="136" applyNumberFormat="1" applyFont="1" applyBorder="1" applyAlignment="1">
      <alignment horizontal="center" wrapText="1"/>
      <protection/>
    </xf>
    <xf numFmtId="49" fontId="7"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12" fillId="0" borderId="26" xfId="136" applyNumberFormat="1" applyFont="1" applyBorder="1" applyAlignment="1">
      <alignment horizontal="center" vertical="center" wrapText="1"/>
      <protection/>
    </xf>
    <xf numFmtId="49" fontId="12" fillId="0" borderId="42" xfId="136" applyNumberFormat="1" applyFont="1" applyBorder="1" applyAlignment="1">
      <alignment horizontal="center" vertical="center" wrapText="1"/>
      <protection/>
    </xf>
    <xf numFmtId="49" fontId="12" fillId="0" borderId="25" xfId="136" applyNumberFormat="1" applyFont="1" applyBorder="1" applyAlignment="1">
      <alignment horizontal="center" vertical="center" wrapText="1"/>
      <protection/>
    </xf>
    <xf numFmtId="49" fontId="12" fillId="0" borderId="26" xfId="136" applyNumberFormat="1" applyFont="1" applyFill="1" applyBorder="1" applyAlignment="1">
      <alignment horizontal="center" vertical="center" wrapText="1"/>
      <protection/>
    </xf>
    <xf numFmtId="49" fontId="33" fillId="0" borderId="25" xfId="136" applyNumberFormat="1" applyFont="1" applyFill="1" applyBorder="1" applyAlignment="1">
      <alignment horizontal="center" vertical="center" wrapText="1"/>
      <protection/>
    </xf>
    <xf numFmtId="49" fontId="36" fillId="0" borderId="0" xfId="136" applyNumberFormat="1" applyFont="1" applyBorder="1" applyAlignment="1">
      <alignment horizont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9" fillId="47" borderId="40" xfId="136" applyNumberFormat="1" applyFont="1" applyFill="1" applyBorder="1" applyAlignment="1" applyProtection="1">
      <alignment horizontal="center" vertical="center" wrapText="1"/>
      <protection/>
    </xf>
    <xf numFmtId="3" fontId="39" fillId="47" borderId="23" xfId="136" applyNumberFormat="1" applyFont="1" applyFill="1" applyBorder="1" applyAlignment="1" applyProtection="1">
      <alignment horizontal="center" vertical="center" wrapText="1"/>
      <protection/>
    </xf>
    <xf numFmtId="49" fontId="12" fillId="0" borderId="20" xfId="136" applyNumberFormat="1" applyFont="1" applyFill="1" applyBorder="1" applyAlignment="1" applyProtection="1">
      <alignment horizontal="center" vertical="center" wrapText="1"/>
      <protection/>
    </xf>
    <xf numFmtId="3" fontId="12" fillId="47" borderId="21" xfId="136" applyNumberFormat="1" applyFont="1" applyFill="1" applyBorder="1" applyAlignment="1" applyProtection="1">
      <alignment horizontal="center" vertical="center" wrapText="1"/>
      <protection/>
    </xf>
    <xf numFmtId="3" fontId="12" fillId="47" borderId="23" xfId="136" applyNumberFormat="1" applyFont="1" applyFill="1" applyBorder="1" applyAlignment="1" applyProtection="1">
      <alignment horizontal="center" vertical="center" wrapText="1"/>
      <protection/>
    </xf>
    <xf numFmtId="49" fontId="23" fillId="0" borderId="22" xfId="136" applyNumberFormat="1" applyFont="1" applyFill="1" applyBorder="1" applyAlignment="1">
      <alignment horizontal="center" vertical="center"/>
      <protection/>
    </xf>
    <xf numFmtId="49" fontId="12" fillId="0" borderId="20" xfId="136" applyNumberFormat="1" applyFont="1" applyFill="1" applyBorder="1" applyAlignment="1">
      <alignment horizontal="center" vertical="center" wrapText="1"/>
      <protection/>
    </xf>
    <xf numFmtId="49" fontId="23" fillId="0" borderId="0" xfId="136" applyNumberFormat="1" applyFont="1" applyAlignment="1">
      <alignment horizontal="left"/>
      <protection/>
    </xf>
    <xf numFmtId="49" fontId="19" fillId="47" borderId="0" xfId="136" applyNumberFormat="1" applyFont="1" applyFill="1" applyAlignment="1">
      <alignment horizontal="center" vertical="center" wrapText="1"/>
      <protection/>
    </xf>
    <xf numFmtId="49" fontId="7" fillId="0" borderId="0" xfId="136" applyNumberFormat="1" applyFont="1" applyAlignment="1">
      <alignment horizontal="left"/>
      <protection/>
    </xf>
    <xf numFmtId="49" fontId="38" fillId="0" borderId="0" xfId="136" applyNumberFormat="1" applyFont="1" applyAlignment="1">
      <alignment horizontal="center"/>
      <protection/>
    </xf>
    <xf numFmtId="49" fontId="0" fillId="0" borderId="0" xfId="136" applyNumberFormat="1" applyFont="1" applyAlignment="1">
      <alignment horizontal="left"/>
      <protection/>
    </xf>
    <xf numFmtId="0" fontId="60" fillId="3" borderId="26" xfId="136" applyNumberFormat="1" applyFont="1" applyFill="1" applyBorder="1" applyAlignment="1">
      <alignment horizontal="center" vertical="center" wrapText="1"/>
      <protection/>
    </xf>
    <xf numFmtId="0" fontId="60" fillId="3" borderId="25" xfId="136" applyNumberFormat="1" applyFont="1" applyFill="1" applyBorder="1" applyAlignment="1">
      <alignment horizontal="center" vertical="center" wrapText="1"/>
      <protection/>
    </xf>
    <xf numFmtId="0" fontId="61" fillId="3" borderId="26" xfId="136" applyNumberFormat="1" applyFont="1" applyFill="1" applyBorder="1" applyAlignment="1">
      <alignment horizontal="center" vertical="center" wrapText="1"/>
      <protection/>
    </xf>
    <xf numFmtId="0" fontId="61" fillId="3" borderId="25" xfId="136" applyNumberFormat="1" applyFont="1" applyFill="1" applyBorder="1" applyAlignment="1">
      <alignment horizontal="center" vertical="center" wrapText="1"/>
      <protection/>
    </xf>
    <xf numFmtId="0" fontId="21" fillId="0" borderId="20" xfId="136" applyNumberFormat="1" applyFont="1" applyBorder="1" applyAlignment="1">
      <alignment horizontal="center" vertical="center" wrapText="1"/>
      <protection/>
    </xf>
    <xf numFmtId="0" fontId="12" fillId="0" borderId="35" xfId="136" applyNumberFormat="1" applyFont="1" applyBorder="1" applyAlignment="1">
      <alignment horizontal="center" vertical="center" wrapText="1"/>
      <protection/>
    </xf>
    <xf numFmtId="0" fontId="12" fillId="0" borderId="36" xfId="136" applyNumberFormat="1" applyFont="1" applyBorder="1" applyAlignment="1">
      <alignment horizontal="center" vertical="center" wrapText="1"/>
      <protection/>
    </xf>
    <xf numFmtId="0" fontId="12" fillId="0" borderId="24" xfId="136" applyNumberFormat="1" applyFont="1" applyBorder="1" applyAlignment="1">
      <alignment horizontal="center" vertical="center" wrapText="1"/>
      <protection/>
    </xf>
    <xf numFmtId="0" fontId="12" fillId="0" borderId="43" xfId="136" applyNumberFormat="1" applyFont="1" applyBorder="1" applyAlignment="1">
      <alignment horizontal="center" vertical="center" wrapText="1"/>
      <protection/>
    </xf>
    <xf numFmtId="0" fontId="30" fillId="0" borderId="0" xfId="136" applyFont="1" applyAlignment="1">
      <alignment horizontal="center"/>
      <protection/>
    </xf>
    <xf numFmtId="49" fontId="30" fillId="47" borderId="0" xfId="136" applyNumberFormat="1" applyFont="1" applyFill="1" applyAlignment="1">
      <alignment horizontal="center"/>
      <protection/>
    </xf>
    <xf numFmtId="49" fontId="12" fillId="0" borderId="25" xfId="136" applyNumberFormat="1" applyFont="1" applyFill="1" applyBorder="1" applyAlignment="1">
      <alignment horizontal="center" vertical="center" wrapText="1"/>
      <protection/>
    </xf>
    <xf numFmtId="49" fontId="34" fillId="0" borderId="0" xfId="136" applyNumberFormat="1" applyFont="1" applyAlignment="1">
      <alignment horizontal="center" wrapText="1"/>
      <protection/>
    </xf>
    <xf numFmtId="49" fontId="30" fillId="0" borderId="0" xfId="136" applyNumberFormat="1" applyFont="1" applyAlignment="1">
      <alignment horizontal="center"/>
      <protection/>
    </xf>
    <xf numFmtId="49" fontId="12" fillId="44" borderId="26" xfId="136" applyNumberFormat="1" applyFont="1" applyFill="1" applyBorder="1" applyAlignment="1">
      <alignment horizontal="center" vertical="center"/>
      <protection/>
    </xf>
    <xf numFmtId="49" fontId="12" fillId="44" borderId="25" xfId="136" applyNumberFormat="1" applyFont="1" applyFill="1" applyBorder="1" applyAlignment="1">
      <alignment horizontal="center" vertical="center"/>
      <protection/>
    </xf>
    <xf numFmtId="49" fontId="7" fillId="0" borderId="0" xfId="136" applyNumberFormat="1" applyFont="1" applyFill="1" applyAlignment="1">
      <alignment horizontal="left"/>
      <protection/>
    </xf>
    <xf numFmtId="49" fontId="11" fillId="0" borderId="20" xfId="136" applyNumberFormat="1" applyFont="1" applyFill="1" applyBorder="1" applyAlignment="1">
      <alignment horizontal="center" vertical="center" wrapText="1"/>
      <protection/>
    </xf>
    <xf numFmtId="49" fontId="11" fillId="0" borderId="26" xfId="136" applyNumberFormat="1" applyFont="1" applyFill="1" applyBorder="1" applyAlignment="1">
      <alignment horizontal="center" vertical="center" wrapText="1"/>
      <protection/>
    </xf>
    <xf numFmtId="49" fontId="11" fillId="0" borderId="42" xfId="136" applyNumberFormat="1" applyFont="1" applyFill="1" applyBorder="1" applyAlignment="1">
      <alignment horizontal="center" vertical="center" wrapText="1"/>
      <protection/>
    </xf>
    <xf numFmtId="49" fontId="11" fillId="0" borderId="25" xfId="136" applyNumberFormat="1" applyFont="1" applyFill="1" applyBorder="1" applyAlignment="1">
      <alignment horizontal="center" vertical="center" wrapText="1"/>
      <protection/>
    </xf>
    <xf numFmtId="49" fontId="23"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7" fillId="0" borderId="0" xfId="136" applyNumberFormat="1" applyFont="1" applyFill="1" applyAlignment="1">
      <alignment horizontal="center" vertical="top" wrapText="1"/>
      <protection/>
    </xf>
    <xf numFmtId="49" fontId="12" fillId="44" borderId="26" xfId="136" applyNumberFormat="1" applyFont="1" applyFill="1" applyBorder="1" applyAlignment="1">
      <alignment horizontal="center"/>
      <protection/>
    </xf>
    <xf numFmtId="49" fontId="12" fillId="44" borderId="25" xfId="136" applyNumberFormat="1" applyFont="1" applyFill="1" applyBorder="1" applyAlignment="1">
      <alignment horizontal="center"/>
      <protection/>
    </xf>
    <xf numFmtId="49" fontId="26" fillId="0" borderId="26" xfId="136" applyNumberFormat="1" applyFont="1" applyFill="1" applyBorder="1" applyAlignment="1">
      <alignment horizontal="center" vertical="center" wrapText="1"/>
      <protection/>
    </xf>
    <xf numFmtId="49" fontId="26" fillId="0" borderId="25" xfId="136" applyNumberFormat="1" applyFont="1" applyFill="1" applyBorder="1" applyAlignment="1">
      <alignment horizontal="center" vertical="center" wrapText="1"/>
      <protection/>
    </xf>
    <xf numFmtId="0" fontId="11" fillId="0" borderId="35" xfId="136" applyNumberFormat="1" applyFont="1" applyFill="1" applyBorder="1" applyAlignment="1">
      <alignment horizontal="center" vertical="center" wrapText="1"/>
      <protection/>
    </xf>
    <xf numFmtId="0" fontId="11" fillId="0" borderId="36" xfId="136" applyNumberFormat="1" applyFont="1" applyFill="1" applyBorder="1" applyAlignment="1">
      <alignment horizontal="center" vertical="center" wrapText="1"/>
      <protection/>
    </xf>
    <xf numFmtId="0" fontId="11" fillId="0" borderId="24" xfId="136" applyNumberFormat="1" applyFont="1" applyFill="1" applyBorder="1" applyAlignment="1">
      <alignment horizontal="center" vertical="center" wrapText="1"/>
      <protection/>
    </xf>
    <xf numFmtId="0" fontId="11" fillId="0" borderId="43" xfId="136" applyNumberFormat="1" applyFont="1" applyFill="1" applyBorder="1" applyAlignment="1">
      <alignment horizontal="center" vertical="center" wrapText="1"/>
      <protection/>
    </xf>
    <xf numFmtId="0" fontId="11" fillId="0" borderId="27" xfId="136" applyNumberFormat="1" applyFont="1" applyFill="1" applyBorder="1" applyAlignment="1">
      <alignment horizontal="center" vertical="center" wrapText="1"/>
      <protection/>
    </xf>
    <xf numFmtId="0" fontId="11" fillId="0" borderId="37" xfId="136" applyNumberFormat="1" applyFont="1" applyFill="1" applyBorder="1" applyAlignment="1">
      <alignment horizontal="center" vertical="center" wrapText="1"/>
      <protection/>
    </xf>
    <xf numFmtId="49" fontId="11" fillId="0" borderId="40" xfId="136" applyNumberFormat="1" applyFont="1" applyFill="1" applyBorder="1" applyAlignment="1">
      <alignment horizontal="center" vertical="center" wrapText="1"/>
      <protection/>
    </xf>
    <xf numFmtId="49" fontId="11" fillId="0" borderId="23" xfId="136" applyNumberFormat="1" applyFont="1" applyFill="1" applyBorder="1" applyAlignment="1">
      <alignment horizontal="center" vertical="center" wrapText="1"/>
      <protection/>
    </xf>
    <xf numFmtId="49" fontId="72" fillId="3" borderId="26" xfId="136" applyNumberFormat="1" applyFont="1" applyFill="1" applyBorder="1" applyAlignment="1">
      <alignment horizontal="center" vertical="center" wrapText="1"/>
      <protection/>
    </xf>
    <xf numFmtId="49" fontId="72" fillId="3" borderId="25" xfId="136" applyNumberFormat="1" applyFont="1" applyFill="1" applyBorder="1" applyAlignment="1">
      <alignment horizontal="center" vertical="center" wrapText="1"/>
      <protection/>
    </xf>
    <xf numFmtId="49" fontId="73" fillId="3" borderId="26" xfId="136" applyNumberFormat="1" applyFont="1" applyFill="1" applyBorder="1" applyAlignment="1">
      <alignment horizontal="center" vertical="center" wrapText="1"/>
      <protection/>
    </xf>
    <xf numFmtId="49" fontId="73" fillId="3" borderId="25"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0" fillId="0" borderId="0" xfId="136" applyNumberFormat="1" applyFont="1" applyFill="1" applyBorder="1" applyAlignment="1">
      <alignment horizontal="left"/>
      <protection/>
    </xf>
    <xf numFmtId="49" fontId="7" fillId="0" borderId="0" xfId="136" applyNumberFormat="1" applyFont="1" applyFill="1" applyBorder="1" applyAlignment="1">
      <alignment horizontal="left"/>
      <protection/>
    </xf>
    <xf numFmtId="49" fontId="7"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11" fillId="0" borderId="22" xfId="136" applyNumberFormat="1" applyFont="1" applyFill="1" applyBorder="1" applyAlignment="1">
      <alignment horizontal="center" vertical="center" wrapText="1"/>
      <protection/>
    </xf>
    <xf numFmtId="49" fontId="20" fillId="0" borderId="0" xfId="136" applyNumberFormat="1" applyFont="1" applyFill="1" applyBorder="1" applyAlignment="1">
      <alignment horizontal="center" vertical="center" wrapText="1"/>
      <protection/>
    </xf>
    <xf numFmtId="49" fontId="18" fillId="0" borderId="0" xfId="136" applyNumberFormat="1" applyFont="1" applyFill="1" applyAlignment="1">
      <alignment horizontal="left" wrapText="1"/>
      <protection/>
    </xf>
    <xf numFmtId="49" fontId="18" fillId="0" borderId="0" xfId="136" applyNumberFormat="1" applyFont="1" applyFill="1" applyAlignment="1">
      <alignment horizontal="center" wrapText="1"/>
      <protection/>
    </xf>
    <xf numFmtId="0" fontId="7" fillId="0" borderId="0" xfId="136" applyFont="1" applyAlignment="1">
      <alignment horizontal="center"/>
      <protection/>
    </xf>
    <xf numFmtId="49" fontId="7" fillId="47" borderId="0" xfId="136" applyNumberFormat="1" applyFont="1" applyFill="1" applyAlignment="1">
      <alignment horizontal="center"/>
      <protection/>
    </xf>
    <xf numFmtId="49" fontId="28" fillId="0" borderId="0" xfId="136" applyNumberFormat="1" applyFont="1" applyFill="1" applyBorder="1" applyAlignment="1">
      <alignment horizontal="center" wrapText="1"/>
      <protection/>
    </xf>
    <xf numFmtId="49" fontId="20" fillId="0" borderId="0" xfId="136" applyNumberFormat="1" applyFont="1" applyFill="1" applyBorder="1" applyAlignment="1">
      <alignment horizontal="center" wrapText="1"/>
      <protection/>
    </xf>
    <xf numFmtId="49" fontId="76" fillId="0" borderId="0" xfId="136" applyNumberFormat="1" applyFont="1" applyFill="1" applyAlignment="1">
      <alignment horizontal="center"/>
      <protection/>
    </xf>
    <xf numFmtId="49" fontId="23" fillId="0" borderId="0" xfId="136" applyNumberFormat="1" applyFont="1" applyFill="1" applyAlignment="1">
      <alignment horizontal="center"/>
      <protection/>
    </xf>
    <xf numFmtId="49" fontId="25" fillId="0" borderId="20"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protection/>
    </xf>
    <xf numFmtId="49" fontId="7" fillId="0" borderId="20" xfId="136" applyNumberFormat="1" applyFont="1" applyFill="1" applyBorder="1" applyAlignment="1">
      <alignment horizontal="center" vertical="center" wrapText="1"/>
      <protection/>
    </xf>
    <xf numFmtId="49" fontId="61" fillId="3" borderId="26" xfId="136" applyNumberFormat="1" applyFont="1" applyFill="1" applyBorder="1" applyAlignment="1">
      <alignment horizontal="center" wrapText="1"/>
      <protection/>
    </xf>
    <xf numFmtId="49" fontId="61" fillId="3" borderId="25" xfId="136" applyNumberFormat="1" applyFont="1" applyFill="1" applyBorder="1" applyAlignment="1">
      <alignment horizontal="center" wrapText="1"/>
      <protection/>
    </xf>
    <xf numFmtId="49" fontId="34" fillId="0" borderId="0" xfId="136" applyNumberFormat="1" applyFont="1" applyAlignment="1">
      <alignment horizontal="center"/>
      <protection/>
    </xf>
    <xf numFmtId="49" fontId="0" fillId="0" borderId="0" xfId="136" applyNumberFormat="1" applyFont="1" applyAlignment="1">
      <alignment/>
      <protection/>
    </xf>
    <xf numFmtId="49" fontId="19" fillId="0" borderId="0" xfId="136" applyNumberFormat="1" applyFont="1" applyAlignment="1">
      <alignment horizontal="center" wrapText="1"/>
      <protection/>
    </xf>
    <xf numFmtId="49" fontId="0" fillId="0" borderId="0" xfId="136" applyNumberFormat="1" applyFont="1" applyAlignment="1">
      <alignment horizontal="left" wrapText="1"/>
      <protection/>
    </xf>
    <xf numFmtId="49" fontId="7" fillId="0" borderId="0" xfId="136" applyNumberFormat="1" applyFont="1" applyAlignment="1">
      <alignment horizontal="left" wrapText="1"/>
      <protection/>
    </xf>
    <xf numFmtId="49" fontId="23" fillId="0" borderId="0" xfId="136" applyNumberFormat="1" applyFont="1" applyBorder="1" applyAlignment="1">
      <alignment horizontal="left"/>
      <protection/>
    </xf>
    <xf numFmtId="49" fontId="18" fillId="0" borderId="0" xfId="136" applyNumberFormat="1" applyFont="1" applyBorder="1" applyAlignment="1">
      <alignment wrapText="1"/>
      <protection/>
    </xf>
    <xf numFmtId="49" fontId="18" fillId="0" borderId="0" xfId="136" applyNumberFormat="1" applyFont="1" applyBorder="1" applyAlignment="1">
      <alignment horizontal="center" wrapText="1"/>
      <protection/>
    </xf>
    <xf numFmtId="49" fontId="12" fillId="44" borderId="26" xfId="136" applyNumberFormat="1" applyFont="1" applyFill="1" applyBorder="1" applyAlignment="1">
      <alignment horizontal="center" vertical="center" wrapText="1"/>
      <protection/>
    </xf>
    <xf numFmtId="49" fontId="12" fillId="44" borderId="25" xfId="136" applyNumberFormat="1" applyFont="1" applyFill="1" applyBorder="1" applyAlignment="1">
      <alignment horizontal="center" vertical="center" wrapText="1"/>
      <protection/>
    </xf>
    <xf numFmtId="49" fontId="21" fillId="0" borderId="26" xfId="136" applyNumberFormat="1" applyFont="1" applyBorder="1" applyAlignment="1">
      <alignment horizontal="center" wrapText="1"/>
      <protection/>
    </xf>
    <xf numFmtId="49" fontId="21" fillId="0" borderId="25" xfId="136" applyNumberFormat="1" applyFont="1" applyBorder="1" applyAlignment="1">
      <alignment horizontal="center" wrapText="1"/>
      <protection/>
    </xf>
    <xf numFmtId="49" fontId="34" fillId="0" borderId="0" xfId="136" applyNumberFormat="1" applyFont="1" applyBorder="1" applyAlignment="1">
      <alignment horizontal="center" wrapText="1"/>
      <protection/>
    </xf>
    <xf numFmtId="49" fontId="12" fillId="0" borderId="35" xfId="136" applyNumberFormat="1" applyFont="1" applyFill="1" applyBorder="1" applyAlignment="1">
      <alignment horizontal="center" vertical="center" wrapText="1"/>
      <protection/>
    </xf>
    <xf numFmtId="49" fontId="12" fillId="0" borderId="36" xfId="136" applyNumberFormat="1" applyFont="1" applyFill="1" applyBorder="1" applyAlignment="1">
      <alignment horizontal="center" vertical="center" wrapText="1"/>
      <protection/>
    </xf>
    <xf numFmtId="49" fontId="12" fillId="0" borderId="24" xfId="136" applyNumberFormat="1" applyFont="1" applyFill="1" applyBorder="1" applyAlignment="1">
      <alignment horizontal="center" vertical="center" wrapText="1"/>
      <protection/>
    </xf>
    <xf numFmtId="49" fontId="12" fillId="0" borderId="43" xfId="136" applyNumberFormat="1" applyFont="1" applyFill="1" applyBorder="1" applyAlignment="1">
      <alignment horizontal="center" vertical="center" wrapText="1"/>
      <protection/>
    </xf>
    <xf numFmtId="49" fontId="12" fillId="0" borderId="27" xfId="136" applyNumberFormat="1" applyFont="1" applyFill="1" applyBorder="1" applyAlignment="1">
      <alignment horizontal="center" vertical="center" wrapText="1"/>
      <protection/>
    </xf>
    <xf numFmtId="49" fontId="12" fillId="0" borderId="37" xfId="136" applyNumberFormat="1" applyFont="1" applyFill="1" applyBorder="1" applyAlignment="1">
      <alignment horizontal="center" vertical="center" wrapText="1"/>
      <protection/>
    </xf>
    <xf numFmtId="49" fontId="60" fillId="3" borderId="26" xfId="136" applyNumberFormat="1" applyFont="1" applyFill="1" applyBorder="1" applyAlignment="1">
      <alignment horizontal="center" wrapText="1"/>
      <protection/>
    </xf>
    <xf numFmtId="49" fontId="60" fillId="3" borderId="25" xfId="136" applyNumberFormat="1" applyFont="1" applyFill="1" applyBorder="1" applyAlignment="1">
      <alignment horizontal="center" wrapText="1"/>
      <protection/>
    </xf>
    <xf numFmtId="49" fontId="36" fillId="0" borderId="0" xfId="136" applyNumberFormat="1" applyFont="1" applyBorder="1" applyAlignment="1">
      <alignment horizontal="center"/>
      <protection/>
    </xf>
    <xf numFmtId="49" fontId="30" fillId="0" borderId="0" xfId="136" applyNumberFormat="1" applyFont="1" applyBorder="1" applyAlignment="1">
      <alignment horizontal="center"/>
      <protection/>
    </xf>
    <xf numFmtId="49" fontId="23" fillId="0" borderId="22" xfId="136" applyNumberFormat="1" applyFont="1" applyBorder="1" applyAlignment="1">
      <alignment horizontal="left"/>
      <protection/>
    </xf>
    <xf numFmtId="49" fontId="23" fillId="0" borderId="0" xfId="136" applyNumberFormat="1" applyFont="1" applyAlignment="1">
      <alignment horizontal="center"/>
      <protection/>
    </xf>
    <xf numFmtId="49" fontId="11" fillId="0" borderId="20" xfId="140" applyNumberFormat="1" applyFont="1" applyFill="1" applyBorder="1" applyAlignment="1">
      <alignment horizontal="center" vertical="center" wrapText="1"/>
      <protection/>
    </xf>
    <xf numFmtId="49" fontId="90" fillId="3" borderId="26" xfId="140" applyNumberFormat="1" applyFont="1" applyFill="1" applyBorder="1" applyAlignment="1">
      <alignment horizontal="center" vertical="center" wrapText="1"/>
      <protection/>
    </xf>
    <xf numFmtId="49" fontId="90" fillId="3" borderId="25" xfId="140" applyNumberFormat="1" applyFont="1" applyFill="1" applyBorder="1" applyAlignment="1">
      <alignment horizontal="center" vertical="center" wrapText="1"/>
      <protection/>
    </xf>
    <xf numFmtId="49" fontId="11" fillId="0" borderId="25" xfId="140" applyNumberFormat="1" applyFont="1" applyFill="1" applyBorder="1" applyAlignment="1">
      <alignment horizontal="center" vertical="center" wrapText="1"/>
      <protection/>
    </xf>
    <xf numFmtId="49" fontId="7" fillId="0" borderId="0" xfId="140" applyNumberFormat="1" applyFont="1" applyBorder="1" applyAlignment="1">
      <alignment horizontal="left"/>
      <protection/>
    </xf>
    <xf numFmtId="49" fontId="11" fillId="0" borderId="3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protection/>
    </xf>
    <xf numFmtId="49" fontId="11" fillId="0" borderId="43"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protection/>
    </xf>
    <xf numFmtId="49" fontId="11" fillId="0" borderId="37" xfId="140" applyNumberFormat="1" applyFont="1" applyFill="1" applyBorder="1" applyAlignment="1">
      <alignment horizontal="center" vertical="center"/>
      <protection/>
    </xf>
    <xf numFmtId="49" fontId="19" fillId="0" borderId="0" xfId="140" applyNumberFormat="1" applyFont="1" applyFill="1" applyAlignment="1">
      <alignment horizontal="center" wrapText="1"/>
      <protection/>
    </xf>
    <xf numFmtId="49" fontId="19" fillId="0" borderId="0" xfId="140" applyNumberFormat="1" applyFont="1" applyAlignment="1">
      <alignment horizontal="center"/>
      <protection/>
    </xf>
    <xf numFmtId="49" fontId="8" fillId="0" borderId="0" xfId="140" applyNumberFormat="1" applyFont="1" applyAlignment="1">
      <alignment horizontal="left"/>
      <protection/>
    </xf>
    <xf numFmtId="49" fontId="11" fillId="0" borderId="26" xfId="140" applyNumberFormat="1" applyFont="1" applyFill="1" applyBorder="1" applyAlignment="1">
      <alignment horizontal="center" vertical="center"/>
      <protection/>
    </xf>
    <xf numFmtId="49" fontId="11" fillId="0" borderId="42" xfId="140" applyNumberFormat="1" applyFont="1" applyFill="1" applyBorder="1" applyAlignment="1">
      <alignment horizontal="center" vertical="center"/>
      <protection/>
    </xf>
    <xf numFmtId="49" fontId="7" fillId="0" borderId="0" xfId="140" applyNumberFormat="1" applyFont="1" applyFill="1" applyAlignment="1">
      <alignment horizontal="left"/>
      <protection/>
    </xf>
    <xf numFmtId="49" fontId="38" fillId="0" borderId="0" xfId="140" applyNumberFormat="1" applyFont="1" applyAlignment="1">
      <alignment horizontal="center"/>
      <protection/>
    </xf>
    <xf numFmtId="49" fontId="23" fillId="0" borderId="0" xfId="140" applyNumberFormat="1" applyFont="1" applyBorder="1" applyAlignment="1">
      <alignment horizontal="left"/>
      <protection/>
    </xf>
    <xf numFmtId="49" fontId="11" fillId="0" borderId="26" xfId="140" applyNumberFormat="1" applyFont="1" applyFill="1" applyBorder="1" applyAlignment="1">
      <alignment horizontal="center" vertical="center" wrapText="1"/>
      <protection/>
    </xf>
    <xf numFmtId="49" fontId="91" fillId="3" borderId="26" xfId="140" applyNumberFormat="1" applyFont="1" applyFill="1" applyBorder="1" applyAlignment="1">
      <alignment horizontal="center" vertical="center" wrapText="1"/>
      <protection/>
    </xf>
    <xf numFmtId="49" fontId="91" fillId="3" borderId="25" xfId="140" applyNumberFormat="1" applyFont="1" applyFill="1" applyBorder="1" applyAlignment="1">
      <alignment horizontal="center" vertical="center" wrapText="1"/>
      <protection/>
    </xf>
    <xf numFmtId="49" fontId="34" fillId="0" borderId="0" xfId="140" applyNumberFormat="1" applyFont="1" applyAlignment="1">
      <alignment horizontal="center"/>
      <protection/>
    </xf>
    <xf numFmtId="0" fontId="30" fillId="47" borderId="0" xfId="140" applyFont="1" applyFill="1" applyBorder="1" applyAlignment="1">
      <alignment horizontal="center"/>
      <protection/>
    </xf>
    <xf numFmtId="49" fontId="36" fillId="0" borderId="0" xfId="140" applyNumberFormat="1" applyFont="1" applyAlignment="1">
      <alignment horizontal="center"/>
      <protection/>
    </xf>
    <xf numFmtId="49" fontId="30" fillId="0" borderId="0" xfId="140" applyNumberFormat="1" applyFont="1" applyBorder="1" applyAlignment="1">
      <alignment horizontal="center" wrapText="1"/>
      <protection/>
    </xf>
    <xf numFmtId="49" fontId="11" fillId="0" borderId="26" xfId="140" applyNumberFormat="1" applyFont="1" applyBorder="1" applyAlignment="1">
      <alignment horizontal="center" vertical="center" wrapText="1"/>
      <protection/>
    </xf>
    <xf numFmtId="49" fontId="11" fillId="0" borderId="25" xfId="140" applyNumberFormat="1" applyFont="1" applyBorder="1" applyAlignment="1">
      <alignment horizontal="center" vertical="center" wrapText="1"/>
      <protection/>
    </xf>
    <xf numFmtId="49" fontId="30" fillId="0" borderId="0" xfId="140" applyNumberFormat="1" applyFont="1" applyBorder="1" applyAlignment="1">
      <alignment horizontal="center"/>
      <protection/>
    </xf>
    <xf numFmtId="49" fontId="81" fillId="4" borderId="21" xfId="140" applyNumberFormat="1" applyFont="1" applyFill="1" applyBorder="1" applyAlignment="1">
      <alignment horizontal="center" vertical="center" wrapText="1"/>
      <protection/>
    </xf>
    <xf numFmtId="49" fontId="81" fillId="4" borderId="40" xfId="140" applyNumberFormat="1" applyFont="1" applyFill="1" applyBorder="1" applyAlignment="1">
      <alignment horizontal="center" vertical="center" wrapText="1"/>
      <protection/>
    </xf>
    <xf numFmtId="49" fontId="81" fillId="4" borderId="23" xfId="140" applyNumberFormat="1" applyFont="1" applyFill="1" applyBorder="1" applyAlignment="1">
      <alignment horizontal="center" vertical="center" wrapText="1"/>
      <protection/>
    </xf>
    <xf numFmtId="49" fontId="0" fillId="0" borderId="0" xfId="140" applyNumberFormat="1" applyFont="1" applyAlignment="1">
      <alignment horizontal="left"/>
      <protection/>
    </xf>
    <xf numFmtId="49" fontId="89" fillId="0" borderId="26" xfId="140" applyNumberFormat="1" applyFont="1" applyBorder="1" applyAlignment="1">
      <alignment horizontal="center" vertical="center" wrapText="1"/>
      <protection/>
    </xf>
    <xf numFmtId="49" fontId="89" fillId="0" borderId="25" xfId="140" applyNumberFormat="1" applyFont="1" applyBorder="1" applyAlignment="1">
      <alignment horizontal="center" vertical="center" wrapText="1"/>
      <protection/>
    </xf>
    <xf numFmtId="49" fontId="36" fillId="0" borderId="0" xfId="140" applyNumberFormat="1" applyFont="1" applyBorder="1" applyAlignment="1">
      <alignment horizontal="center" wrapText="1"/>
      <protection/>
    </xf>
    <xf numFmtId="49" fontId="11" fillId="0" borderId="21" xfId="140" applyNumberFormat="1" applyFont="1" applyFill="1" applyBorder="1" applyAlignment="1">
      <alignment horizontal="center" vertical="center" wrapText="1"/>
      <protection/>
    </xf>
    <xf numFmtId="49" fontId="11" fillId="0" borderId="40" xfId="140" applyNumberFormat="1" applyFont="1" applyFill="1" applyBorder="1" applyAlignment="1">
      <alignment horizontal="center" vertical="center" wrapText="1"/>
      <protection/>
    </xf>
    <xf numFmtId="49" fontId="11" fillId="0" borderId="23" xfId="140" applyNumberFormat="1" applyFont="1" applyFill="1" applyBorder="1" applyAlignment="1">
      <alignment horizontal="center" vertical="center" wrapText="1"/>
      <protection/>
    </xf>
    <xf numFmtId="49" fontId="18" fillId="0" borderId="0" xfId="140" applyNumberFormat="1" applyFont="1" applyAlignment="1">
      <alignment horizontal="center"/>
      <protection/>
    </xf>
    <xf numFmtId="49" fontId="36" fillId="0" borderId="0" xfId="140" applyNumberFormat="1" applyFont="1" applyBorder="1" applyAlignment="1">
      <alignment horizontal="center"/>
      <protection/>
    </xf>
    <xf numFmtId="0" fontId="11" fillId="0" borderId="26" xfId="140" applyFont="1" applyBorder="1" applyAlignment="1">
      <alignment horizontal="center" vertical="center"/>
      <protection/>
    </xf>
    <xf numFmtId="0" fontId="11" fillId="0" borderId="42" xfId="140" applyFont="1" applyBorder="1" applyAlignment="1">
      <alignment horizontal="center" vertical="center"/>
      <protection/>
    </xf>
    <xf numFmtId="0" fontId="11" fillId="0" borderId="25" xfId="140" applyFont="1" applyBorder="1" applyAlignment="1">
      <alignment horizontal="center" vertical="center"/>
      <protection/>
    </xf>
    <xf numFmtId="0" fontId="11" fillId="0" borderId="25" xfId="140" applyFont="1" applyBorder="1" applyAlignment="1">
      <alignment horizontal="center" vertical="center" wrapText="1"/>
      <protection/>
    </xf>
    <xf numFmtId="0" fontId="11" fillId="0" borderId="20" xfId="140" applyFont="1" applyBorder="1" applyAlignment="1">
      <alignment horizontal="center" vertical="center" wrapText="1"/>
      <protection/>
    </xf>
    <xf numFmtId="0" fontId="11" fillId="0" borderId="20" xfId="140" applyFont="1" applyBorder="1" applyAlignment="1">
      <alignment horizontal="center" vertical="center"/>
      <protection/>
    </xf>
    <xf numFmtId="0" fontId="17" fillId="0" borderId="20" xfId="140" applyFont="1" applyBorder="1" applyAlignment="1">
      <alignment horizontal="center" vertical="center" wrapText="1"/>
      <protection/>
    </xf>
    <xf numFmtId="0" fontId="18" fillId="0" borderId="22" xfId="140" applyFont="1" applyBorder="1" applyAlignment="1">
      <alignment horizontal="left"/>
      <protection/>
    </xf>
    <xf numFmtId="3" fontId="0" fillId="47" borderId="0" xfId="140" applyNumberFormat="1" applyFont="1" applyFill="1" applyBorder="1" applyAlignment="1">
      <alignment horizontal="left"/>
      <protection/>
    </xf>
    <xf numFmtId="0" fontId="11" fillId="0" borderId="20" xfId="140" applyFont="1" applyFill="1" applyBorder="1" applyAlignment="1">
      <alignment horizontal="center" vertical="center" wrapText="1"/>
      <protection/>
    </xf>
    <xf numFmtId="0" fontId="7" fillId="0" borderId="0" xfId="140" applyFont="1" applyBorder="1" applyAlignment="1">
      <alignment horizontal="left"/>
      <protection/>
    </xf>
    <xf numFmtId="0" fontId="0" fillId="0" borderId="0" xfId="140" applyFont="1" applyBorder="1" applyAlignment="1">
      <alignment horizontal="left"/>
      <protection/>
    </xf>
    <xf numFmtId="0" fontId="7" fillId="0" borderId="0" xfId="140" applyNumberFormat="1" applyFont="1" applyAlignment="1">
      <alignment horizontal="left"/>
      <protection/>
    </xf>
    <xf numFmtId="0" fontId="0" fillId="0" borderId="0" xfId="140" applyFont="1" applyAlignment="1">
      <alignment horizontal="left"/>
      <protection/>
    </xf>
    <xf numFmtId="0" fontId="0" fillId="0" borderId="0" xfId="140" applyFont="1" applyBorder="1" applyAlignment="1">
      <alignment/>
      <protection/>
    </xf>
    <xf numFmtId="0" fontId="19" fillId="0" borderId="0" xfId="140" applyFont="1" applyAlignment="1">
      <alignment horizontal="center" wrapText="1"/>
      <protection/>
    </xf>
    <xf numFmtId="0" fontId="18" fillId="0" borderId="0" xfId="140" applyFont="1" applyBorder="1" applyAlignment="1">
      <alignment horizontal="center"/>
      <protection/>
    </xf>
    <xf numFmtId="0" fontId="19" fillId="0" borderId="0" xfId="140" applyFont="1" applyAlignment="1">
      <alignment horizontal="center"/>
      <protection/>
    </xf>
    <xf numFmtId="0" fontId="38" fillId="0" borderId="0" xfId="140" applyFont="1" applyAlignment="1">
      <alignment horizontal="center"/>
      <protection/>
    </xf>
    <xf numFmtId="0" fontId="11" fillId="0" borderId="35" xfId="140" applyFont="1" applyBorder="1" applyAlignment="1">
      <alignment horizontal="center" vertical="center" wrapText="1"/>
      <protection/>
    </xf>
    <xf numFmtId="0" fontId="11" fillId="0" borderId="19" xfId="140" applyFont="1" applyBorder="1" applyAlignment="1">
      <alignment horizontal="center" vertical="center" wrapText="1"/>
      <protection/>
    </xf>
    <xf numFmtId="0" fontId="11" fillId="0" borderId="36" xfId="140" applyFont="1" applyBorder="1" applyAlignment="1">
      <alignment horizontal="center" vertical="center" wrapText="1"/>
      <protection/>
    </xf>
    <xf numFmtId="0" fontId="11" fillId="0" borderId="24" xfId="140" applyFont="1" applyBorder="1" applyAlignment="1">
      <alignment horizontal="center" vertical="center" wrapText="1"/>
      <protection/>
    </xf>
    <xf numFmtId="0" fontId="11" fillId="0" borderId="0" xfId="140" applyFont="1" applyBorder="1" applyAlignment="1">
      <alignment horizontal="center" vertical="center" wrapText="1"/>
      <protection/>
    </xf>
    <xf numFmtId="0" fontId="11" fillId="0" borderId="43" xfId="140" applyFont="1" applyBorder="1" applyAlignment="1">
      <alignment horizontal="center" vertical="center" wrapText="1"/>
      <protection/>
    </xf>
    <xf numFmtId="0" fontId="72" fillId="3" borderId="26" xfId="140" applyFont="1" applyFill="1" applyBorder="1" applyAlignment="1">
      <alignment horizontal="center" vertical="center" wrapText="1"/>
      <protection/>
    </xf>
    <xf numFmtId="0" fontId="72" fillId="3" borderId="25" xfId="140" applyFont="1" applyFill="1" applyBorder="1" applyAlignment="1">
      <alignment horizontal="center" vertical="center" wrapText="1"/>
      <protection/>
    </xf>
    <xf numFmtId="0" fontId="36" fillId="0" borderId="0" xfId="140" applyNumberFormat="1" applyFont="1" applyBorder="1" applyAlignment="1">
      <alignment horizontal="center"/>
      <protection/>
    </xf>
    <xf numFmtId="0" fontId="36" fillId="0" borderId="0" xfId="140" applyFont="1" applyBorder="1" applyAlignment="1">
      <alignment horizontal="center" wrapText="1"/>
      <protection/>
    </xf>
    <xf numFmtId="0" fontId="30" fillId="0" borderId="0" xfId="140" applyFont="1" applyBorder="1" applyAlignment="1">
      <alignment horizontal="center" wrapText="1"/>
      <protection/>
    </xf>
    <xf numFmtId="0" fontId="73" fillId="3" borderId="26" xfId="140" applyFont="1" applyFill="1" applyBorder="1" applyAlignment="1">
      <alignment horizontal="center" vertical="center" wrapText="1"/>
      <protection/>
    </xf>
    <xf numFmtId="0" fontId="73" fillId="3" borderId="25" xfId="140" applyFont="1" applyFill="1" applyBorder="1" applyAlignment="1">
      <alignment horizontal="center" vertical="center" wrapText="1"/>
      <protection/>
    </xf>
    <xf numFmtId="0" fontId="93" fillId="0" borderId="0" xfId="140" applyFont="1" applyAlignment="1">
      <alignment horizontal="center"/>
      <protection/>
    </xf>
    <xf numFmtId="0" fontId="30" fillId="0" borderId="0" xfId="140" applyNumberFormat="1" applyFont="1" applyBorder="1" applyAlignment="1">
      <alignment horizontal="center"/>
      <protection/>
    </xf>
    <xf numFmtId="0" fontId="11" fillId="0" borderId="26" xfId="140" applyFont="1" applyBorder="1" applyAlignment="1">
      <alignment horizontal="center" vertical="center" wrapText="1"/>
      <protection/>
    </xf>
    <xf numFmtId="0" fontId="11" fillId="0" borderId="21" xfId="140" applyFont="1" applyBorder="1" applyAlignment="1">
      <alignment horizontal="center" vertical="center" wrapText="1"/>
      <protection/>
    </xf>
    <xf numFmtId="0" fontId="11" fillId="0" borderId="40" xfId="140" applyFont="1" applyBorder="1" applyAlignment="1">
      <alignment horizontal="center" vertical="center" wrapText="1"/>
      <protection/>
    </xf>
    <xf numFmtId="0" fontId="11" fillId="0" borderId="23" xfId="140" applyFont="1" applyBorder="1" applyAlignment="1">
      <alignment horizontal="center" vertical="center" wrapText="1"/>
      <protection/>
    </xf>
    <xf numFmtId="0" fontId="26" fillId="0" borderId="26" xfId="140" applyFont="1" applyBorder="1" applyAlignment="1">
      <alignment horizontal="center" vertical="center" wrapText="1"/>
      <protection/>
    </xf>
    <xf numFmtId="0" fontId="26" fillId="0" borderId="25" xfId="140" applyFont="1" applyBorder="1" applyAlignment="1">
      <alignment horizontal="center" vertical="center" wrapText="1"/>
      <protection/>
    </xf>
    <xf numFmtId="49" fontId="11" fillId="0" borderId="19"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22" xfId="140" applyNumberFormat="1" applyFont="1" applyFill="1" applyBorder="1" applyAlignment="1">
      <alignment horizontal="center" vertical="center"/>
      <protection/>
    </xf>
    <xf numFmtId="49" fontId="84" fillId="0" borderId="0" xfId="140" applyNumberFormat="1" applyFont="1" applyAlignment="1">
      <alignment horizontal="center"/>
      <protection/>
    </xf>
    <xf numFmtId="49" fontId="11" fillId="0" borderId="20" xfId="140" applyNumberFormat="1" applyFont="1" applyFill="1" applyBorder="1" applyAlignment="1">
      <alignment horizontal="center" vertical="center"/>
      <protection/>
    </xf>
    <xf numFmtId="49" fontId="82" fillId="3" borderId="26" xfId="140" applyNumberFormat="1" applyFont="1" applyFill="1" applyBorder="1" applyAlignment="1">
      <alignment horizontal="center" vertical="center" wrapText="1"/>
      <protection/>
    </xf>
    <xf numFmtId="49" fontId="82" fillId="3" borderId="25" xfId="140" applyNumberFormat="1" applyFont="1" applyFill="1" applyBorder="1" applyAlignment="1">
      <alignment horizontal="center" vertical="center" wrapText="1"/>
      <protection/>
    </xf>
    <xf numFmtId="49" fontId="80" fillId="3" borderId="26" xfId="140" applyNumberFormat="1" applyFont="1" applyFill="1" applyBorder="1" applyAlignment="1">
      <alignment horizontal="center" vertical="center" wrapText="1"/>
      <protection/>
    </xf>
    <xf numFmtId="49" fontId="80" fillId="3" borderId="25" xfId="140" applyNumberFormat="1" applyFont="1" applyFill="1" applyBorder="1" applyAlignment="1">
      <alignment horizontal="center" vertical="center" wrapText="1"/>
      <protection/>
    </xf>
    <xf numFmtId="49" fontId="7" fillId="0" borderId="0" xfId="140" applyNumberFormat="1" applyFont="1" applyAlignment="1">
      <alignment horizontal="left"/>
      <protection/>
    </xf>
    <xf numFmtId="49" fontId="10" fillId="0" borderId="0" xfId="140" applyNumberFormat="1" applyFont="1" applyBorder="1" applyAlignment="1">
      <alignment horizontal="left" wrapText="1"/>
      <protection/>
    </xf>
    <xf numFmtId="49" fontId="10" fillId="0" borderId="0" xfId="140" applyNumberFormat="1" applyFont="1" applyBorder="1" applyAlignment="1">
      <alignment horizontal="left"/>
      <protection/>
    </xf>
    <xf numFmtId="49" fontId="19" fillId="0" borderId="0" xfId="140" applyNumberFormat="1" applyFont="1" applyAlignment="1">
      <alignment horizontal="center" wrapText="1"/>
      <protection/>
    </xf>
    <xf numFmtId="49" fontId="0" fillId="47" borderId="0" xfId="140" applyNumberFormat="1" applyFont="1" applyFill="1" applyBorder="1" applyAlignment="1">
      <alignment horizontal="left" vertical="top" wrapText="1"/>
      <protection/>
    </xf>
    <xf numFmtId="49" fontId="7" fillId="47" borderId="0" xfId="140" applyNumberFormat="1" applyFont="1" applyFill="1" applyBorder="1" applyAlignment="1">
      <alignment horizontal="left" vertical="top" wrapText="1"/>
      <protection/>
    </xf>
    <xf numFmtId="49" fontId="0" fillId="0" borderId="0" xfId="140" applyNumberFormat="1" applyFont="1" applyAlignment="1">
      <alignment horizontal="justify" vertical="top"/>
      <protection/>
    </xf>
    <xf numFmtId="49" fontId="0" fillId="0" borderId="0" xfId="140" applyNumberFormat="1" applyFont="1" applyBorder="1" applyAlignment="1">
      <alignment horizontal="justify" vertical="top" wrapText="1"/>
      <protection/>
    </xf>
    <xf numFmtId="49" fontId="0" fillId="0" borderId="0" xfId="140" applyNumberFormat="1" applyFont="1" applyBorder="1" applyAlignment="1">
      <alignment horizontal="justify" vertical="top"/>
      <protection/>
    </xf>
    <xf numFmtId="49" fontId="23" fillId="0" borderId="0" xfId="140" applyNumberFormat="1" applyFont="1" applyAlignment="1">
      <alignment horizontal="center" wrapText="1"/>
      <protection/>
    </xf>
    <xf numFmtId="49" fontId="24" fillId="0" borderId="22" xfId="140" applyNumberFormat="1" applyFont="1" applyBorder="1" applyAlignment="1">
      <alignment horizontal="center"/>
      <protection/>
    </xf>
    <xf numFmtId="49" fontId="79" fillId="0" borderId="20" xfId="140" applyNumberFormat="1" applyFont="1" applyBorder="1" applyAlignment="1">
      <alignment horizontal="center" vertical="center" wrapText="1"/>
      <protection/>
    </xf>
    <xf numFmtId="49" fontId="17" fillId="0" borderId="20" xfId="140" applyNumberFormat="1" applyFont="1" applyBorder="1" applyAlignment="1">
      <alignment horizontal="center" vertical="center" wrapText="1"/>
      <protection/>
    </xf>
    <xf numFmtId="49" fontId="12" fillId="0" borderId="0" xfId="140" applyNumberFormat="1" applyFont="1" applyAlignment="1">
      <alignment horizontal="left"/>
      <protection/>
    </xf>
    <xf numFmtId="49" fontId="18" fillId="0" borderId="0" xfId="140" applyNumberFormat="1" applyFont="1" applyBorder="1" applyAlignment="1">
      <alignment horizontal="left"/>
      <protection/>
    </xf>
    <xf numFmtId="49" fontId="12" fillId="0" borderId="26" xfId="140" applyNumberFormat="1" applyFont="1" applyBorder="1" applyAlignment="1">
      <alignment horizontal="center" vertical="center" wrapText="1"/>
      <protection/>
    </xf>
    <xf numFmtId="49" fontId="12" fillId="0" borderId="25" xfId="140" applyNumberFormat="1" applyFont="1" applyBorder="1" applyAlignment="1">
      <alignment horizontal="center" vertical="center" wrapText="1"/>
      <protection/>
    </xf>
    <xf numFmtId="49" fontId="8" fillId="0" borderId="0" xfId="140" applyNumberFormat="1" applyFont="1" applyAlignment="1">
      <alignment/>
      <protection/>
    </xf>
    <xf numFmtId="49" fontId="0" fillId="0" borderId="0" xfId="140" applyNumberFormat="1" applyFont="1" applyBorder="1" applyAlignment="1">
      <alignment horizontal="left"/>
      <protection/>
    </xf>
    <xf numFmtId="49" fontId="24" fillId="0" borderId="26" xfId="140" applyNumberFormat="1" applyFont="1" applyBorder="1" applyAlignment="1">
      <alignment horizontal="center" vertical="center" wrapText="1"/>
      <protection/>
    </xf>
    <xf numFmtId="49" fontId="24" fillId="0" borderId="25" xfId="140" applyNumberFormat="1" applyFont="1" applyBorder="1" applyAlignment="1">
      <alignment horizontal="center" vertical="center" wrapText="1"/>
      <protection/>
    </xf>
    <xf numFmtId="49" fontId="95" fillId="3" borderId="26" xfId="140" applyNumberFormat="1" applyFont="1" applyFill="1" applyBorder="1" applyAlignment="1">
      <alignment horizontal="center" vertical="center" wrapText="1"/>
      <protection/>
    </xf>
    <xf numFmtId="49" fontId="95" fillId="3" borderId="25" xfId="140" applyNumberFormat="1" applyFont="1" applyFill="1" applyBorder="1" applyAlignment="1">
      <alignment horizontal="center" vertical="center" wrapText="1"/>
      <protection/>
    </xf>
    <xf numFmtId="49" fontId="94" fillId="3" borderId="26" xfId="140" applyNumberFormat="1" applyFont="1" applyFill="1" applyBorder="1" applyAlignment="1">
      <alignment horizontal="center" vertical="center" wrapText="1"/>
      <protection/>
    </xf>
    <xf numFmtId="49" fontId="94" fillId="3" borderId="25" xfId="140" applyNumberFormat="1" applyFont="1" applyFill="1" applyBorder="1" applyAlignment="1">
      <alignment horizontal="center" vertical="center" wrapText="1"/>
      <protection/>
    </xf>
    <xf numFmtId="49" fontId="11" fillId="0" borderId="21" xfId="140" applyNumberFormat="1" applyFont="1" applyBorder="1" applyAlignment="1">
      <alignment horizontal="center" vertical="center" wrapText="1"/>
      <protection/>
    </xf>
    <xf numFmtId="49" fontId="11" fillId="0" borderId="23" xfId="140" applyNumberFormat="1" applyFont="1" applyBorder="1" applyAlignment="1">
      <alignment horizontal="center" vertical="center" wrapText="1"/>
      <protection/>
    </xf>
    <xf numFmtId="49" fontId="11" fillId="0" borderId="40" xfId="140" applyNumberFormat="1" applyFont="1" applyBorder="1" applyAlignment="1">
      <alignment horizontal="center" vertical="center" wrapText="1"/>
      <protection/>
    </xf>
    <xf numFmtId="49" fontId="11" fillId="0" borderId="42" xfId="140" applyNumberFormat="1" applyFont="1" applyBorder="1" applyAlignment="1">
      <alignment horizontal="center" vertical="center" wrapText="1"/>
      <protection/>
    </xf>
    <xf numFmtId="49" fontId="24" fillId="0" borderId="0" xfId="140" applyNumberFormat="1" applyFont="1" applyAlignment="1">
      <alignment horizontal="center"/>
      <protection/>
    </xf>
    <xf numFmtId="49" fontId="23" fillId="0" borderId="22" xfId="140" applyNumberFormat="1" applyFont="1" applyBorder="1" applyAlignment="1">
      <alignment horizontal="left"/>
      <protection/>
    </xf>
    <xf numFmtId="49" fontId="36" fillId="0" borderId="0" xfId="140" applyNumberFormat="1" applyFont="1" applyBorder="1" applyAlignment="1">
      <alignment horizontal="left" wrapText="1"/>
      <protection/>
    </xf>
    <xf numFmtId="49" fontId="34" fillId="0" borderId="0" xfId="140" applyNumberFormat="1" applyFont="1" applyAlignment="1">
      <alignment horizontal="center"/>
      <protection/>
    </xf>
    <xf numFmtId="49" fontId="11" fillId="0" borderId="27" xfId="140" applyNumberFormat="1" applyFont="1" applyFill="1" applyBorder="1" applyAlignment="1">
      <alignment horizontal="center" vertical="center" wrapText="1"/>
      <protection/>
    </xf>
    <xf numFmtId="49" fontId="11" fillId="0" borderId="37" xfId="140" applyNumberFormat="1" applyFont="1" applyFill="1" applyBorder="1" applyAlignment="1">
      <alignment horizontal="center" vertical="center" wrapText="1"/>
      <protection/>
    </xf>
    <xf numFmtId="49" fontId="94" fillId="3" borderId="26" xfId="140" applyNumberFormat="1" applyFont="1" applyFill="1" applyBorder="1" applyAlignment="1">
      <alignment horizontal="center" vertical="center"/>
      <protection/>
    </xf>
    <xf numFmtId="49" fontId="94" fillId="3" borderId="25" xfId="140" applyNumberFormat="1" applyFont="1" applyFill="1" applyBorder="1" applyAlignment="1">
      <alignment horizontal="center" vertical="center"/>
      <protection/>
    </xf>
    <xf numFmtId="49" fontId="11" fillId="0" borderId="42" xfId="140" applyNumberFormat="1" applyFont="1" applyFill="1" applyBorder="1" applyAlignment="1">
      <alignment horizontal="center" vertical="center" wrapText="1"/>
      <protection/>
    </xf>
    <xf numFmtId="49" fontId="11" fillId="0" borderId="35"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11" fillId="0" borderId="24" xfId="140" applyNumberFormat="1" applyFont="1" applyFill="1" applyBorder="1" applyAlignment="1">
      <alignment horizontal="center" vertical="center" wrapText="1"/>
      <protection/>
    </xf>
    <xf numFmtId="49" fontId="11" fillId="0" borderId="43" xfId="140" applyNumberFormat="1" applyFont="1" applyFill="1" applyBorder="1" applyAlignment="1">
      <alignment horizontal="center" vertical="center" wrapText="1"/>
      <protection/>
    </xf>
    <xf numFmtId="49" fontId="23" fillId="0" borderId="0" xfId="140" applyNumberFormat="1" applyFont="1" applyFill="1" applyBorder="1" applyAlignment="1">
      <alignment horizontal="left"/>
      <protection/>
    </xf>
    <xf numFmtId="49" fontId="11" fillId="47" borderId="26" xfId="140" applyNumberFormat="1" applyFont="1" applyFill="1" applyBorder="1" applyAlignment="1">
      <alignment horizontal="center" vertical="center"/>
      <protection/>
    </xf>
    <xf numFmtId="49" fontId="11" fillId="47" borderId="25" xfId="140" applyNumberFormat="1" applyFont="1" applyFill="1" applyBorder="1" applyAlignment="1">
      <alignment horizontal="center" vertical="center"/>
      <protection/>
    </xf>
    <xf numFmtId="49" fontId="95" fillId="3" borderId="26" xfId="140" applyNumberFormat="1" applyFont="1" applyFill="1" applyBorder="1" applyAlignment="1">
      <alignment horizontal="center" vertical="center"/>
      <protection/>
    </xf>
    <xf numFmtId="49" fontId="95" fillId="3" borderId="25" xfId="140" applyNumberFormat="1" applyFont="1" applyFill="1" applyBorder="1" applyAlignment="1">
      <alignment horizontal="center" vertical="center"/>
      <protection/>
    </xf>
    <xf numFmtId="49" fontId="24" fillId="0" borderId="26" xfId="140" applyNumberFormat="1" applyFont="1" applyFill="1" applyBorder="1" applyAlignment="1">
      <alignment horizontal="center" vertical="center"/>
      <protection/>
    </xf>
    <xf numFmtId="49" fontId="24" fillId="0" borderId="25" xfId="140" applyNumberFormat="1" applyFont="1" applyFill="1" applyBorder="1" applyAlignment="1">
      <alignment horizontal="center" vertical="center"/>
      <protection/>
    </xf>
    <xf numFmtId="49" fontId="0" fillId="0" borderId="0" xfId="140" applyNumberFormat="1" applyFont="1" applyFill="1" applyAlignment="1">
      <alignment horizontal="left"/>
      <protection/>
    </xf>
    <xf numFmtId="0" fontId="87" fillId="0" borderId="42" xfId="140" applyFont="1" applyFill="1" applyBorder="1" applyAlignment="1">
      <alignment horizontal="center" vertical="center" wrapText="1"/>
      <protection/>
    </xf>
    <xf numFmtId="0" fontId="87" fillId="0" borderId="25" xfId="140" applyFont="1" applyFill="1" applyBorder="1" applyAlignment="1">
      <alignment horizontal="center" vertical="center" wrapText="1"/>
      <protection/>
    </xf>
    <xf numFmtId="49" fontId="18" fillId="0" borderId="22" xfId="140" applyNumberFormat="1" applyFont="1" applyFill="1" applyBorder="1" applyAlignment="1">
      <alignment horizontal="center" vertical="center"/>
      <protection/>
    </xf>
    <xf numFmtId="0" fontId="19" fillId="0" borderId="0" xfId="140" applyNumberFormat="1" applyFont="1" applyAlignment="1">
      <alignment horizontal="center"/>
      <protection/>
    </xf>
    <xf numFmtId="0" fontId="38" fillId="0" borderId="0" xfId="140" applyNumberFormat="1" applyFont="1" applyAlignment="1">
      <alignment horizontal="center"/>
      <protection/>
    </xf>
    <xf numFmtId="0" fontId="28" fillId="0" borderId="0" xfId="140" applyNumberFormat="1" applyFont="1" applyAlignment="1">
      <alignment horizontal="center"/>
      <protection/>
    </xf>
    <xf numFmtId="0" fontId="12" fillId="0" borderId="20" xfId="140" applyFont="1" applyFill="1" applyBorder="1" applyAlignment="1">
      <alignment horizontal="center" vertical="center" wrapText="1"/>
      <protection/>
    </xf>
    <xf numFmtId="0" fontId="23" fillId="0" borderId="0" xfId="140" applyFont="1" applyBorder="1" applyAlignment="1">
      <alignment horizontal="left"/>
      <protection/>
    </xf>
    <xf numFmtId="0" fontId="18" fillId="0" borderId="0" xfId="140" applyFont="1" applyAlignment="1">
      <alignment horizontal="center"/>
      <protection/>
    </xf>
    <xf numFmtId="49" fontId="36" fillId="0" borderId="0" xfId="140" applyNumberFormat="1" applyFont="1" applyBorder="1" applyAlignment="1">
      <alignment horizontal="justify" vertical="justify" wrapText="1"/>
      <protection/>
    </xf>
    <xf numFmtId="0" fontId="34" fillId="47" borderId="0" xfId="140" applyFont="1" applyFill="1" applyBorder="1" applyAlignment="1">
      <alignment horizontal="center"/>
      <protection/>
    </xf>
    <xf numFmtId="49" fontId="12" fillId="0" borderId="35" xfId="140" applyNumberFormat="1" applyFont="1" applyFill="1" applyBorder="1" applyAlignment="1">
      <alignment horizontal="center" vertical="center"/>
      <protection/>
    </xf>
    <xf numFmtId="49" fontId="12" fillId="0" borderId="36" xfId="140" applyNumberFormat="1" applyFont="1" applyFill="1" applyBorder="1" applyAlignment="1">
      <alignment horizontal="center" vertical="center"/>
      <protection/>
    </xf>
    <xf numFmtId="49" fontId="12" fillId="0" borderId="24" xfId="140" applyNumberFormat="1" applyFont="1" applyFill="1" applyBorder="1" applyAlignment="1">
      <alignment horizontal="center" vertical="center"/>
      <protection/>
    </xf>
    <xf numFmtId="49" fontId="12" fillId="0" borderId="43" xfId="140" applyNumberFormat="1" applyFont="1" applyFill="1" applyBorder="1" applyAlignment="1">
      <alignment horizontal="center" vertical="center"/>
      <protection/>
    </xf>
    <xf numFmtId="49" fontId="12" fillId="0" borderId="27" xfId="140" applyNumberFormat="1" applyFont="1" applyFill="1" applyBorder="1" applyAlignment="1">
      <alignment horizontal="center" vertical="center"/>
      <protection/>
    </xf>
    <xf numFmtId="49" fontId="12" fillId="0" borderId="37" xfId="140" applyNumberFormat="1" applyFont="1" applyFill="1" applyBorder="1" applyAlignment="1">
      <alignment horizontal="center" vertical="center"/>
      <protection/>
    </xf>
    <xf numFmtId="0" fontId="30" fillId="0" borderId="0" xfId="140" applyFont="1" applyAlignment="1">
      <alignment horizontal="center"/>
      <protection/>
    </xf>
    <xf numFmtId="49" fontId="30" fillId="47" borderId="44" xfId="0" applyNumberFormat="1" applyFont="1" applyFill="1" applyBorder="1" applyAlignment="1">
      <alignment horizontal="center" vertical="center"/>
    </xf>
    <xf numFmtId="49" fontId="30" fillId="47" borderId="45" xfId="0" applyNumberFormat="1" applyFont="1" applyFill="1" applyBorder="1" applyAlignment="1">
      <alignment horizontal="center" vertical="center"/>
    </xf>
    <xf numFmtId="49" fontId="105" fillId="47" borderId="26" xfId="0" applyNumberFormat="1" applyFont="1" applyFill="1" applyBorder="1" applyAlignment="1">
      <alignment horizontal="left"/>
    </xf>
    <xf numFmtId="49" fontId="105" fillId="47" borderId="42" xfId="0" applyNumberFormat="1" applyFont="1" applyFill="1" applyBorder="1" applyAlignment="1">
      <alignment horizontal="left"/>
    </xf>
    <xf numFmtId="49" fontId="105" fillId="47" borderId="25" xfId="0" applyNumberFormat="1" applyFont="1" applyFill="1" applyBorder="1" applyAlignment="1">
      <alignment horizontal="left"/>
    </xf>
    <xf numFmtId="0" fontId="0" fillId="57"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1" fillId="0" borderId="0" xfId="0" applyNumberFormat="1" applyFont="1" applyFill="1" applyBorder="1" applyAlignment="1">
      <alignment horizontal="center"/>
    </xf>
    <xf numFmtId="2" fontId="8" fillId="0" borderId="40"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wrapText="1"/>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3"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8" fillId="0" borderId="22" xfId="0" applyNumberFormat="1" applyFont="1" applyFill="1" applyBorder="1" applyAlignment="1">
      <alignment horizontal="center"/>
    </xf>
    <xf numFmtId="2" fontId="38" fillId="0" borderId="0" xfId="0" applyNumberFormat="1" applyFont="1" applyFill="1" applyAlignment="1">
      <alignment horizontal="center"/>
    </xf>
    <xf numFmtId="2" fontId="12" fillId="0" borderId="42"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40" xfId="0" applyFont="1" applyFill="1" applyBorder="1" applyAlignment="1">
      <alignment horizontal="center" vertical="center"/>
    </xf>
    <xf numFmtId="0" fontId="8" fillId="0" borderId="23" xfId="0" applyFont="1" applyFill="1" applyBorder="1" applyAlignment="1">
      <alignment horizontal="center" vertical="center"/>
    </xf>
    <xf numFmtId="2" fontId="12" fillId="0" borderId="21" xfId="0" applyNumberFormat="1" applyFont="1" applyFill="1" applyBorder="1" applyAlignment="1">
      <alignment horizontal="center" vertical="center" wrapText="1"/>
    </xf>
    <xf numFmtId="2" fontId="12" fillId="0" borderId="40" xfId="0" applyNumberFormat="1" applyFont="1" applyFill="1" applyBorder="1" applyAlignment="1">
      <alignment horizontal="center" vertical="center" wrapText="1"/>
    </xf>
    <xf numFmtId="2" fontId="12" fillId="0" borderId="23" xfId="0" applyNumberFormat="1" applyFont="1" applyFill="1" applyBorder="1" applyAlignment="1">
      <alignment horizontal="center" vertical="center" wrapText="1"/>
    </xf>
    <xf numFmtId="0" fontId="8" fillId="0" borderId="21" xfId="0" applyFont="1" applyFill="1" applyBorder="1" applyAlignment="1">
      <alignment horizontal="center" vertical="center"/>
    </xf>
    <xf numFmtId="2" fontId="8" fillId="0" borderId="42" xfId="0" applyNumberFormat="1" applyFont="1" applyFill="1" applyBorder="1" applyAlignment="1">
      <alignment horizontal="center" vertical="center" wrapText="1"/>
    </xf>
    <xf numFmtId="0" fontId="23" fillId="0" borderId="19" xfId="0" applyNumberFormat="1" applyFont="1" applyBorder="1" applyAlignment="1">
      <alignment horizontal="right" wrapText="1"/>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7" fillId="0" borderId="20"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2" fontId="8" fillId="0" borderId="20"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6" fillId="0" borderId="19" xfId="0" applyNumberFormat="1" applyFont="1" applyFill="1" applyBorder="1" applyAlignment="1">
      <alignment horizontal="right"/>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0" fontId="36" fillId="0" borderId="19" xfId="0" applyNumberFormat="1" applyFont="1" applyFill="1" applyBorder="1" applyAlignment="1">
      <alignment horizontal="right" wrapText="1"/>
    </xf>
    <xf numFmtId="2" fontId="12" fillId="0" borderId="26" xfId="0" applyNumberFormat="1" applyFont="1" applyFill="1" applyBorder="1" applyAlignment="1">
      <alignment horizontal="center" vertical="center"/>
    </xf>
    <xf numFmtId="2" fontId="12" fillId="0" borderId="25" xfId="0" applyNumberFormat="1" applyFont="1" applyFill="1" applyBorder="1" applyAlignment="1">
      <alignment horizontal="center" vertical="center"/>
    </xf>
    <xf numFmtId="2" fontId="0" fillId="0" borderId="0" xfId="0" applyNumberFormat="1" applyFont="1" applyFill="1" applyBorder="1" applyAlignment="1">
      <alignment horizontal="center"/>
    </xf>
    <xf numFmtId="0" fontId="36" fillId="0" borderId="0" xfId="0" applyNumberFormat="1" applyFont="1" applyFill="1" applyBorder="1" applyAlignment="1">
      <alignment horizontal="right"/>
    </xf>
    <xf numFmtId="0" fontId="7" fillId="0" borderId="20" xfId="0" applyFont="1" applyFill="1" applyBorder="1" applyAlignment="1">
      <alignment horizontal="center"/>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34" fillId="0" borderId="0" xfId="0" applyNumberFormat="1" applyFont="1" applyFill="1" applyAlignment="1">
      <alignment horizontal="center"/>
    </xf>
    <xf numFmtId="0" fontId="30" fillId="0" borderId="0" xfId="0" applyNumberFormat="1" applyFont="1" applyFill="1" applyBorder="1" applyAlignment="1">
      <alignment horizontal="center" wrapText="1"/>
    </xf>
    <xf numFmtId="0" fontId="108"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38" fillId="0" borderId="0" xfId="0" applyNumberFormat="1" applyFont="1" applyFill="1" applyAlignment="1">
      <alignment horizontal="center" wrapText="1"/>
    </xf>
    <xf numFmtId="0" fontId="8" fillId="0" borderId="0" xfId="0" applyNumberFormat="1" applyFont="1" applyFill="1" applyAlignment="1">
      <alignment horizontal="left"/>
    </xf>
    <xf numFmtId="0" fontId="36" fillId="0" borderId="19" xfId="0" applyFont="1" applyFill="1" applyBorder="1" applyAlignment="1">
      <alignment horizontal="center" wrapText="1"/>
    </xf>
    <xf numFmtId="0" fontId="12" fillId="0" borderId="26" xfId="0" applyNumberFormat="1" applyFont="1" applyFill="1" applyBorder="1" applyAlignment="1">
      <alignment horizontal="center" vertical="center" wrapText="1"/>
    </xf>
    <xf numFmtId="0" fontId="12" fillId="0" borderId="42"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12" fillId="0" borderId="0" xfId="0" applyFont="1" applyFill="1" applyAlignment="1">
      <alignment horizontal="left"/>
    </xf>
    <xf numFmtId="0" fontId="8" fillId="0" borderId="0" xfId="0" applyNumberFormat="1" applyFont="1" applyFill="1" applyBorder="1" applyAlignment="1">
      <alignment horizontal="left" wrapText="1"/>
    </xf>
    <xf numFmtId="0" fontId="12" fillId="0" borderId="2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8" fillId="0" borderId="0" xfId="0" applyNumberFormat="1" applyFont="1" applyFill="1" applyBorder="1" applyAlignment="1">
      <alignment horizontal="center"/>
    </xf>
    <xf numFmtId="0" fontId="6" fillId="0" borderId="0" xfId="0" applyFont="1" applyFill="1" applyBorder="1" applyAlignment="1">
      <alignment horizontal="center"/>
    </xf>
    <xf numFmtId="49" fontId="12" fillId="0" borderId="21" xfId="0" applyNumberFormat="1" applyFont="1" applyFill="1" applyBorder="1" applyAlignment="1" applyProtection="1">
      <alignment horizontal="center" vertical="center" wrapText="1"/>
      <protection/>
    </xf>
    <xf numFmtId="49" fontId="12" fillId="0" borderId="40" xfId="0" applyNumberFormat="1" applyFont="1" applyFill="1" applyBorder="1" applyAlignment="1" applyProtection="1">
      <alignment horizontal="center" vertical="center" wrapText="1"/>
      <protection/>
    </xf>
    <xf numFmtId="49" fontId="12" fillId="0" borderId="23" xfId="0" applyNumberFormat="1" applyFont="1" applyFill="1" applyBorder="1" applyAlignment="1" applyProtection="1">
      <alignment horizontal="center" vertical="center" wrapText="1"/>
      <protection/>
    </xf>
    <xf numFmtId="49" fontId="8" fillId="0" borderId="26" xfId="0" applyNumberFormat="1" applyFont="1" applyFill="1" applyBorder="1" applyAlignment="1" applyProtection="1">
      <alignment horizontal="center" vertical="center" wrapText="1"/>
      <protection/>
    </xf>
    <xf numFmtId="49" fontId="8" fillId="0" borderId="25" xfId="0" applyNumberFormat="1" applyFont="1" applyFill="1" applyBorder="1" applyAlignment="1" applyProtection="1">
      <alignment horizontal="center" vertical="center" wrapText="1"/>
      <protection/>
    </xf>
    <xf numFmtId="49" fontId="8" fillId="0" borderId="21" xfId="0" applyNumberFormat="1" applyFont="1" applyFill="1" applyBorder="1" applyAlignment="1" applyProtection="1">
      <alignment horizontal="center" vertical="center" wrapText="1"/>
      <protection/>
    </xf>
    <xf numFmtId="49" fontId="8" fillId="0" borderId="23" xfId="0" applyNumberFormat="1" applyFont="1" applyFill="1" applyBorder="1" applyAlignment="1" applyProtection="1">
      <alignment horizontal="center" vertical="center" wrapText="1"/>
      <protection/>
    </xf>
    <xf numFmtId="49" fontId="8" fillId="0" borderId="42" xfId="0" applyNumberFormat="1" applyFont="1" applyFill="1" applyBorder="1" applyAlignment="1" applyProtection="1">
      <alignment horizontal="center" vertical="center" wrapText="1"/>
      <protection/>
    </xf>
    <xf numFmtId="49" fontId="21" fillId="0" borderId="46" xfId="0" applyNumberFormat="1" applyFont="1" applyFill="1" applyBorder="1" applyAlignment="1" applyProtection="1">
      <alignment horizontal="center" vertical="center" wrapText="1"/>
      <protection/>
    </xf>
    <xf numFmtId="49" fontId="21" fillId="0" borderId="25" xfId="0" applyNumberFormat="1" applyFont="1" applyFill="1" applyBorder="1" applyAlignment="1" applyProtection="1">
      <alignment horizontal="center" vertical="center" wrapText="1"/>
      <protection/>
    </xf>
    <xf numFmtId="0" fontId="34" fillId="0" borderId="0" xfId="0" applyNumberFormat="1" applyFont="1" applyFill="1" applyAlignment="1">
      <alignment horizontal="left"/>
    </xf>
    <xf numFmtId="172" fontId="23" fillId="0" borderId="19" xfId="93" applyNumberFormat="1" applyFont="1" applyFill="1" applyBorder="1" applyAlignment="1" applyProtection="1">
      <alignment horizontal="center" vertical="center"/>
      <protection/>
    </xf>
    <xf numFmtId="0" fontId="23" fillId="0" borderId="0" xfId="0" applyNumberFormat="1" applyFont="1" applyFill="1" applyBorder="1" applyAlignment="1">
      <alignment horizontal="right" vertical="center"/>
    </xf>
    <xf numFmtId="0" fontId="38" fillId="0" borderId="0" xfId="0" applyNumberFormat="1" applyFont="1" applyFill="1" applyAlignment="1">
      <alignment horizontal="center"/>
    </xf>
    <xf numFmtId="49" fontId="12" fillId="0" borderId="21" xfId="0" applyNumberFormat="1" applyFont="1" applyFill="1" applyBorder="1" applyAlignment="1">
      <alignment vertical="center" wrapText="1"/>
    </xf>
    <xf numFmtId="49" fontId="12" fillId="0" borderId="40" xfId="0" applyNumberFormat="1" applyFont="1" applyFill="1" applyBorder="1" applyAlignment="1">
      <alignment vertical="center" wrapText="1"/>
    </xf>
    <xf numFmtId="49" fontId="12" fillId="0" borderId="23" xfId="0" applyNumberFormat="1" applyFont="1" applyFill="1" applyBorder="1" applyAlignment="1">
      <alignment vertical="center" wrapText="1"/>
    </xf>
    <xf numFmtId="49" fontId="12" fillId="0" borderId="40" xfId="0" applyNumberFormat="1" applyFont="1" applyFill="1" applyBorder="1" applyAlignment="1">
      <alignment horizontal="center" vertical="center" wrapText="1"/>
    </xf>
    <xf numFmtId="49" fontId="12" fillId="0" borderId="23" xfId="0" applyNumberFormat="1" applyFont="1" applyFill="1" applyBorder="1" applyAlignment="1">
      <alignment horizontal="center" vertical="center" wrapText="1"/>
    </xf>
    <xf numFmtId="1" fontId="12" fillId="0" borderId="26" xfId="0" applyNumberFormat="1" applyFont="1" applyFill="1" applyBorder="1" applyAlignment="1">
      <alignment horizontal="center" vertical="center"/>
    </xf>
    <xf numFmtId="1" fontId="12" fillId="0" borderId="42" xfId="0" applyNumberFormat="1" applyFont="1" applyFill="1" applyBorder="1" applyAlignment="1">
      <alignment horizontal="center" vertical="center"/>
    </xf>
    <xf numFmtId="1" fontId="12" fillId="0" borderId="25" xfId="0" applyNumberFormat="1" applyFont="1" applyFill="1" applyBorder="1" applyAlignment="1">
      <alignment horizontal="center" vertical="center"/>
    </xf>
    <xf numFmtId="49" fontId="12" fillId="0" borderId="26" xfId="0" applyNumberFormat="1" applyFont="1" applyFill="1" applyBorder="1" applyAlignment="1" applyProtection="1">
      <alignment horizontal="center" vertical="center" wrapText="1"/>
      <protection/>
    </xf>
    <xf numFmtId="49" fontId="12" fillId="0" borderId="42" xfId="0" applyNumberFormat="1" applyFont="1" applyFill="1" applyBorder="1" applyAlignment="1" applyProtection="1">
      <alignment horizontal="center" vertical="center" wrapText="1"/>
      <protection/>
    </xf>
    <xf numFmtId="49" fontId="12" fillId="0" borderId="25" xfId="0" applyNumberFormat="1" applyFont="1" applyFill="1" applyBorder="1" applyAlignment="1" applyProtection="1">
      <alignment horizontal="center" vertical="center" wrapText="1"/>
      <protection/>
    </xf>
    <xf numFmtId="49" fontId="12" fillId="0" borderId="0" xfId="0" applyNumberFormat="1" applyFont="1" applyFill="1" applyBorder="1" applyAlignment="1">
      <alignment horizontal="left" wrapText="1"/>
    </xf>
    <xf numFmtId="49" fontId="8" fillId="0" borderId="0" xfId="0" applyNumberFormat="1" applyFont="1" applyFill="1" applyAlignment="1">
      <alignment horizontal="left"/>
    </xf>
    <xf numFmtId="0" fontId="12" fillId="0" borderId="0" xfId="0" applyNumberFormat="1" applyFont="1" applyFill="1" applyBorder="1" applyAlignment="1">
      <alignment horizontal="left" wrapText="1"/>
    </xf>
    <xf numFmtId="0" fontId="30" fillId="0" borderId="0" xfId="0" applyNumberFormat="1" applyFont="1" applyFill="1" applyBorder="1" applyAlignment="1">
      <alignment horizontal="center" vertical="center"/>
    </xf>
    <xf numFmtId="0" fontId="36" fillId="0" borderId="0" xfId="0" applyNumberFormat="1" applyFont="1" applyFill="1" applyBorder="1" applyAlignment="1">
      <alignment horizontal="center" wrapText="1"/>
    </xf>
    <xf numFmtId="49" fontId="12" fillId="0" borderId="46" xfId="0" applyNumberFormat="1" applyFont="1" applyFill="1" applyBorder="1" applyAlignment="1" applyProtection="1">
      <alignment horizontal="center" vertical="center" wrapText="1"/>
      <protection/>
    </xf>
    <xf numFmtId="49" fontId="17" fillId="0" borderId="26" xfId="0" applyNumberFormat="1" applyFont="1" applyFill="1" applyBorder="1" applyAlignment="1" applyProtection="1">
      <alignment horizontal="left" vertical="center"/>
      <protection locked="0"/>
    </xf>
    <xf numFmtId="49" fontId="17" fillId="0" borderId="42" xfId="0" applyNumberFormat="1" applyFont="1" applyFill="1" applyBorder="1" applyAlignment="1" applyProtection="1">
      <alignment horizontal="left" vertical="center"/>
      <protection locked="0"/>
    </xf>
    <xf numFmtId="49" fontId="17" fillId="0" borderId="25" xfId="0" applyNumberFormat="1" applyFont="1" applyFill="1" applyBorder="1" applyAlignment="1" applyProtection="1">
      <alignment horizontal="left" vertical="center"/>
      <protection locked="0"/>
    </xf>
    <xf numFmtId="49" fontId="29" fillId="0" borderId="0" xfId="0" applyNumberFormat="1" applyFont="1" applyFill="1" applyAlignment="1">
      <alignment horizontal="left"/>
    </xf>
    <xf numFmtId="0" fontId="17" fillId="0" borderId="0" xfId="0" applyNumberFormat="1" applyFont="1" applyFill="1" applyBorder="1" applyAlignment="1">
      <alignment horizontal="left" wrapText="1"/>
    </xf>
    <xf numFmtId="0" fontId="7" fillId="0" borderId="0" xfId="0" applyNumberFormat="1" applyFont="1" applyFill="1" applyBorder="1" applyAlignment="1">
      <alignment horizontal="center" wrapText="1"/>
    </xf>
    <xf numFmtId="49" fontId="79" fillId="0" borderId="39" xfId="0" applyNumberFormat="1" applyFont="1" applyFill="1" applyBorder="1" applyAlignment="1" applyProtection="1">
      <alignment horizontal="center" vertical="center" wrapText="1"/>
      <protection/>
    </xf>
    <xf numFmtId="49" fontId="79" fillId="0" borderId="20" xfId="0" applyNumberFormat="1" applyFont="1" applyFill="1" applyBorder="1" applyAlignment="1" applyProtection="1">
      <alignment horizontal="center" vertical="center" wrapText="1"/>
      <protection/>
    </xf>
    <xf numFmtId="49" fontId="17" fillId="0" borderId="2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49" fontId="29" fillId="0" borderId="47" xfId="0" applyNumberFormat="1" applyFont="1" applyFill="1" applyBorder="1" applyAlignment="1" applyProtection="1">
      <alignment horizontal="center" vertical="center" wrapText="1"/>
      <protection/>
    </xf>
    <xf numFmtId="49" fontId="29" fillId="0" borderId="38" xfId="0" applyNumberFormat="1" applyFont="1" applyFill="1" applyBorder="1" applyAlignment="1" applyProtection="1">
      <alignment horizontal="center" vertical="center" wrapText="1"/>
      <protection/>
    </xf>
    <xf numFmtId="0" fontId="23" fillId="0" borderId="0" xfId="0" applyNumberFormat="1" applyFont="1" applyFill="1" applyBorder="1" applyAlignment="1">
      <alignment horizontal="center" vertical="center"/>
    </xf>
    <xf numFmtId="49" fontId="17" fillId="0" borderId="48" xfId="0" applyNumberFormat="1" applyFont="1" applyFill="1" applyBorder="1" applyAlignment="1" applyProtection="1">
      <alignment horizontal="center" vertical="center" wrapText="1"/>
      <protection/>
    </xf>
    <xf numFmtId="49" fontId="17" fillId="0" borderId="20" xfId="0" applyNumberFormat="1" applyFont="1" applyFill="1" applyBorder="1" applyAlignment="1" applyProtection="1">
      <alignment horizontal="center" vertical="center" wrapText="1"/>
      <protection/>
    </xf>
    <xf numFmtId="49" fontId="17" fillId="0" borderId="0" xfId="0" applyNumberFormat="1" applyFont="1" applyFill="1" applyAlignment="1">
      <alignment horizontal="center"/>
    </xf>
    <xf numFmtId="49" fontId="17" fillId="0" borderId="0" xfId="0" applyNumberFormat="1" applyFont="1" applyFill="1" applyAlignment="1">
      <alignment horizontal="center" wrapText="1"/>
    </xf>
    <xf numFmtId="0" fontId="79" fillId="0" borderId="0" xfId="0" applyNumberFormat="1" applyFont="1" applyFill="1" applyAlignment="1">
      <alignment horizontal="center"/>
    </xf>
    <xf numFmtId="49" fontId="17" fillId="0" borderId="48" xfId="0" applyNumberFormat="1" applyFont="1" applyFill="1" applyBorder="1" applyAlignment="1">
      <alignment horizontal="center" vertical="center" wrapText="1"/>
    </xf>
    <xf numFmtId="1" fontId="17" fillId="0" borderId="48" xfId="0" applyNumberFormat="1" applyFont="1" applyFill="1" applyBorder="1" applyAlignment="1">
      <alignment horizontal="center" vertical="center"/>
    </xf>
    <xf numFmtId="0" fontId="109" fillId="0" borderId="0" xfId="0" applyNumberFormat="1" applyFont="1" applyFill="1" applyBorder="1" applyAlignment="1">
      <alignment horizontal="center" wrapText="1"/>
    </xf>
    <xf numFmtId="49" fontId="17" fillId="0" borderId="0" xfId="0" applyNumberFormat="1" applyFont="1" applyFill="1" applyBorder="1" applyAlignment="1">
      <alignment horizontal="left" wrapText="1"/>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0" fontId="0" fillId="0" borderId="0" xfId="0" applyNumberFormat="1" applyFont="1" applyFill="1" applyAlignment="1">
      <alignment horizontal="center"/>
    </xf>
    <xf numFmtId="0" fontId="17" fillId="0" borderId="49" xfId="0" applyNumberFormat="1" applyFont="1" applyFill="1" applyBorder="1" applyAlignment="1">
      <alignment horizontal="center" vertical="center" wrapText="1"/>
    </xf>
    <xf numFmtId="0" fontId="17" fillId="0" borderId="48" xfId="0" applyNumberFormat="1" applyFont="1" applyFill="1" applyBorder="1" applyAlignment="1">
      <alignment horizontal="center" vertical="center" wrapText="1"/>
    </xf>
    <xf numFmtId="0" fontId="17" fillId="0" borderId="39"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49" fontId="109" fillId="0" borderId="50" xfId="0" applyNumberFormat="1" applyFont="1" applyFill="1" applyBorder="1" applyAlignment="1">
      <alignment horizontal="center"/>
    </xf>
    <xf numFmtId="49" fontId="29" fillId="0" borderId="20" xfId="0" applyNumberFormat="1" applyFont="1" applyFill="1" applyBorder="1" applyAlignment="1" applyProtection="1">
      <alignment horizontal="center" vertical="center" wrapText="1"/>
      <protection/>
    </xf>
    <xf numFmtId="172" fontId="28" fillId="0" borderId="0" xfId="93" applyNumberFormat="1" applyFont="1" applyFill="1" applyBorder="1" applyAlignment="1" applyProtection="1">
      <alignment horizontal="left" vertical="center"/>
      <protection/>
    </xf>
    <xf numFmtId="49" fontId="7" fillId="0" borderId="0" xfId="141" applyNumberFormat="1" applyFont="1" applyFill="1" applyAlignment="1">
      <alignment horizontal="left"/>
      <protection/>
    </xf>
    <xf numFmtId="49" fontId="19" fillId="0" borderId="0" xfId="141" applyNumberFormat="1" applyFont="1" applyFill="1" applyAlignment="1">
      <alignment horizontal="center" wrapText="1"/>
      <protection/>
    </xf>
    <xf numFmtId="49" fontId="0" fillId="0" borderId="0" xfId="141" applyNumberFormat="1" applyFont="1" applyFill="1" applyAlignment="1">
      <alignment horizontal="left"/>
      <protection/>
    </xf>
    <xf numFmtId="0" fontId="38" fillId="0" borderId="0" xfId="141" applyNumberFormat="1" applyFont="1" applyFill="1" applyAlignment="1">
      <alignment horizontal="center"/>
      <protection/>
    </xf>
    <xf numFmtId="0" fontId="28" fillId="0" borderId="0" xfId="141" applyNumberFormat="1" applyFont="1" applyFill="1" applyAlignment="1">
      <alignment horizontal="center"/>
      <protection/>
    </xf>
    <xf numFmtId="49" fontId="17" fillId="0" borderId="20" xfId="141" applyNumberFormat="1" applyFont="1" applyFill="1" applyBorder="1" applyAlignment="1">
      <alignment horizontal="center" vertical="center" wrapText="1" readingOrder="1"/>
      <protection/>
    </xf>
    <xf numFmtId="0" fontId="30" fillId="0" borderId="0" xfId="141" applyNumberFormat="1" applyFont="1" applyFill="1" applyBorder="1" applyAlignment="1">
      <alignment horizontal="center" wrapText="1"/>
      <protection/>
    </xf>
    <xf numFmtId="49" fontId="17" fillId="17" borderId="26" xfId="141" applyNumberFormat="1" applyFont="1" applyFill="1" applyBorder="1" applyAlignment="1">
      <alignment horizontal="center" vertical="center" wrapText="1"/>
      <protection/>
    </xf>
    <xf numFmtId="49" fontId="17" fillId="17" borderId="25" xfId="141" applyNumberFormat="1" applyFont="1" applyFill="1" applyBorder="1" applyAlignment="1">
      <alignment horizontal="center" vertical="center" wrapText="1"/>
      <protection/>
    </xf>
    <xf numFmtId="49" fontId="17" fillId="0" borderId="35" xfId="141" applyNumberFormat="1" applyFont="1" applyFill="1" applyBorder="1" applyAlignment="1">
      <alignment horizontal="center" vertical="center" wrapText="1" readingOrder="1"/>
      <protection/>
    </xf>
    <xf numFmtId="49" fontId="17" fillId="0" borderId="36" xfId="141" applyNumberFormat="1" applyFont="1" applyFill="1" applyBorder="1" applyAlignment="1">
      <alignment horizontal="center" vertical="center" wrapText="1" readingOrder="1"/>
      <protection/>
    </xf>
    <xf numFmtId="49" fontId="17" fillId="0" borderId="24" xfId="141" applyNumberFormat="1" applyFont="1" applyFill="1" applyBorder="1" applyAlignment="1">
      <alignment horizontal="center" vertical="center" wrapText="1" readingOrder="1"/>
      <protection/>
    </xf>
    <xf numFmtId="49" fontId="17" fillId="0" borderId="43" xfId="141" applyNumberFormat="1" applyFont="1" applyFill="1" applyBorder="1" applyAlignment="1">
      <alignment horizontal="center" vertical="center" wrapText="1" readingOrder="1"/>
      <protection/>
    </xf>
    <xf numFmtId="0" fontId="36" fillId="0" borderId="0" xfId="141" applyNumberFormat="1" applyFont="1" applyFill="1" applyBorder="1" applyAlignment="1">
      <alignment horizontal="center" wrapText="1"/>
      <protection/>
    </xf>
    <xf numFmtId="0" fontId="30" fillId="0" borderId="0" xfId="141" applyNumberFormat="1" applyFont="1" applyFill="1" applyBorder="1" applyAlignment="1">
      <alignment horizontal="center"/>
      <protection/>
    </xf>
    <xf numFmtId="0" fontId="17" fillId="0" borderId="20" xfId="141" applyFont="1" applyFill="1" applyBorder="1" applyAlignment="1">
      <alignment horizontal="center" vertical="center" wrapText="1" readingOrder="1"/>
      <protection/>
    </xf>
    <xf numFmtId="0" fontId="36" fillId="0" borderId="19" xfId="141" applyNumberFormat="1" applyFont="1" applyFill="1" applyBorder="1" applyAlignment="1">
      <alignment horizontal="center"/>
      <protection/>
    </xf>
    <xf numFmtId="49" fontId="18" fillId="0" borderId="0" xfId="141" applyNumberFormat="1" applyFont="1" applyFill="1" applyBorder="1" applyAlignment="1">
      <alignment horizontal="left" wrapText="1"/>
      <protection/>
    </xf>
    <xf numFmtId="0" fontId="34" fillId="0" borderId="0" xfId="141" applyNumberFormat="1" applyFont="1" applyFill="1" applyAlignment="1">
      <alignment horizontal="center"/>
      <protection/>
    </xf>
    <xf numFmtId="0" fontId="84" fillId="0" borderId="0" xfId="141" applyNumberFormat="1" applyFont="1" applyFill="1" applyAlignment="1">
      <alignment horizontal="center"/>
      <protection/>
    </xf>
    <xf numFmtId="0" fontId="19" fillId="0" borderId="0" xfId="137" applyNumberFormat="1" applyFont="1" applyFill="1" applyAlignment="1">
      <alignment horizontal="center"/>
      <protection/>
    </xf>
    <xf numFmtId="49" fontId="17" fillId="0" borderId="0" xfId="141" applyNumberFormat="1" applyFont="1" applyFill="1" applyBorder="1" applyAlignment="1">
      <alignment horizontal="center" wrapText="1"/>
      <protection/>
    </xf>
    <xf numFmtId="0" fontId="85" fillId="0" borderId="0" xfId="141" applyNumberFormat="1" applyFont="1" applyFill="1" applyAlignment="1">
      <alignment horizontal="center"/>
      <protection/>
    </xf>
    <xf numFmtId="0" fontId="31" fillId="0" borderId="20" xfId="141" applyFont="1" applyFill="1" applyBorder="1" applyAlignment="1">
      <alignment horizontal="center" vertical="center" wrapText="1"/>
      <protection/>
    </xf>
    <xf numFmtId="3" fontId="0" fillId="0" borderId="0" xfId="141" applyNumberFormat="1" applyFont="1" applyFill="1" applyBorder="1" applyAlignment="1">
      <alignment horizontal="left"/>
      <protection/>
    </xf>
    <xf numFmtId="3" fontId="7" fillId="0" borderId="0" xfId="141" applyNumberFormat="1" applyFont="1" applyFill="1" applyBorder="1" applyAlignment="1">
      <alignment horizontal="left"/>
      <protection/>
    </xf>
    <xf numFmtId="0" fontId="0" fillId="0" borderId="0" xfId="141" applyFont="1" applyFill="1" applyAlignment="1">
      <alignment horizontal="left"/>
      <protection/>
    </xf>
    <xf numFmtId="0" fontId="0" fillId="0" borderId="0" xfId="141" applyFont="1" applyFill="1" applyAlignment="1">
      <alignment/>
      <protection/>
    </xf>
    <xf numFmtId="0" fontId="38" fillId="0" borderId="0" xfId="141" applyFont="1" applyFill="1" applyAlignment="1">
      <alignment horizontal="center"/>
      <protection/>
    </xf>
    <xf numFmtId="0" fontId="28" fillId="0" borderId="0" xfId="141" applyFont="1" applyFill="1" applyAlignment="1">
      <alignment horizontal="center"/>
      <protection/>
    </xf>
    <xf numFmtId="0" fontId="7" fillId="0" borderId="0" xfId="141" applyNumberFormat="1" applyFont="1" applyFill="1" applyAlignment="1">
      <alignment horizontal="left"/>
      <protection/>
    </xf>
    <xf numFmtId="0" fontId="7" fillId="0" borderId="0" xfId="141" applyNumberFormat="1" applyFont="1" applyFill="1" applyAlignment="1">
      <alignment horizontal="center" wrapText="1"/>
      <protection/>
    </xf>
    <xf numFmtId="0" fontId="7" fillId="0" borderId="0" xfId="141" applyFont="1" applyFill="1" applyBorder="1" applyAlignment="1">
      <alignment horizontal="left"/>
      <protection/>
    </xf>
    <xf numFmtId="0" fontId="87" fillId="0" borderId="20" xfId="141" applyFont="1" applyFill="1" applyBorder="1" applyAlignment="1">
      <alignment horizontal="center" vertical="center"/>
      <protection/>
    </xf>
    <xf numFmtId="0" fontId="23" fillId="0" borderId="0" xfId="141" applyFont="1" applyFill="1" applyBorder="1" applyAlignment="1">
      <alignment horizontal="center"/>
      <protection/>
    </xf>
    <xf numFmtId="49" fontId="11" fillId="0" borderId="35" xfId="141" applyNumberFormat="1" applyFont="1" applyFill="1" applyBorder="1" applyAlignment="1">
      <alignment horizontal="center" vertical="center"/>
      <protection/>
    </xf>
    <xf numFmtId="49" fontId="11" fillId="0" borderId="36" xfId="141" applyNumberFormat="1" applyFont="1" applyFill="1" applyBorder="1" applyAlignment="1">
      <alignment horizontal="center" vertical="center"/>
      <protection/>
    </xf>
    <xf numFmtId="49" fontId="11" fillId="0" borderId="24" xfId="141" applyNumberFormat="1" applyFont="1" applyFill="1" applyBorder="1" applyAlignment="1">
      <alignment horizontal="center" vertical="center"/>
      <protection/>
    </xf>
    <xf numFmtId="49" fontId="11" fillId="0" borderId="43" xfId="141" applyNumberFormat="1" applyFont="1" applyFill="1" applyBorder="1" applyAlignment="1">
      <alignment horizontal="center" vertical="center"/>
      <protection/>
    </xf>
    <xf numFmtId="0" fontId="17" fillId="52" borderId="26" xfId="141" applyFont="1" applyFill="1" applyBorder="1" applyAlignment="1">
      <alignment horizontal="center" vertical="center" wrapText="1"/>
      <protection/>
    </xf>
    <xf numFmtId="0" fontId="17" fillId="52" borderId="25" xfId="141" applyFont="1" applyFill="1" applyBorder="1" applyAlignment="1">
      <alignment horizontal="center" vertical="center" wrapText="1"/>
      <protection/>
    </xf>
    <xf numFmtId="0" fontId="31" fillId="0" borderId="20" xfId="141" applyFont="1" applyFill="1" applyBorder="1" applyAlignment="1">
      <alignment horizontal="center" vertical="center"/>
      <protection/>
    </xf>
    <xf numFmtId="0" fontId="30" fillId="0" borderId="0" xfId="141" applyFont="1" applyFill="1" applyBorder="1" applyAlignment="1">
      <alignment horizontal="center" wrapText="1"/>
      <protection/>
    </xf>
    <xf numFmtId="0" fontId="111" fillId="0" borderId="20" xfId="141" applyFont="1" applyFill="1" applyBorder="1" applyAlignment="1">
      <alignment horizontal="center" vertical="center"/>
      <protection/>
    </xf>
    <xf numFmtId="0" fontId="36" fillId="0" borderId="0" xfId="141" applyFont="1" applyFill="1" applyBorder="1" applyAlignment="1">
      <alignment horizontal="center" wrapText="1"/>
      <protection/>
    </xf>
    <xf numFmtId="49" fontId="24" fillId="0" borderId="0" xfId="141" applyNumberFormat="1" applyFont="1" applyFill="1" applyBorder="1" applyAlignment="1">
      <alignment horizontal="left" wrapText="1"/>
      <protection/>
    </xf>
    <xf numFmtId="49" fontId="34" fillId="0" borderId="0" xfId="141" applyNumberFormat="1" applyFont="1" applyFill="1" applyAlignment="1">
      <alignment horizontal="center"/>
      <protection/>
    </xf>
    <xf numFmtId="0" fontId="30" fillId="0" borderId="0" xfId="141" applyFont="1" applyFill="1" applyBorder="1" applyAlignment="1">
      <alignment horizontal="center"/>
      <protection/>
    </xf>
    <xf numFmtId="0" fontId="84" fillId="0" borderId="0" xfId="141" applyFont="1" applyFill="1" applyAlignment="1">
      <alignment horizontal="center"/>
      <protection/>
    </xf>
    <xf numFmtId="0" fontId="30" fillId="0" borderId="0" xfId="137" applyFont="1" applyFill="1" applyAlignment="1">
      <alignment horizontal="center"/>
      <protection/>
    </xf>
    <xf numFmtId="0" fontId="30" fillId="0" borderId="0" xfId="137" applyNumberFormat="1" applyFont="1" applyFill="1" applyAlignment="1">
      <alignment horizontal="center"/>
      <protection/>
    </xf>
    <xf numFmtId="0" fontId="17" fillId="0" borderId="0" xfId="141" applyFont="1" applyFill="1" applyBorder="1" applyAlignment="1">
      <alignment horizontal="center" wrapText="1"/>
      <protection/>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urrency" xfId="96"/>
    <cellStyle name="Currency [0]" xfId="97"/>
    <cellStyle name="Check Cell" xfId="98"/>
    <cellStyle name="Check Cell 2" xfId="99"/>
    <cellStyle name="Check Cell 3"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19 bieu m nhapcong thuc da sao 11 don vi  2" xfId="137"/>
    <cellStyle name="Normal_BC_thong_ke_theo_TT01_BTP" xfId="138"/>
    <cellStyle name="Normal_Bieu 8 - Bieu 19 toan tinh" xfId="139"/>
    <cellStyle name="Normal_Bieu mau TK tu 11 den 19 (ban phat hanh)" xfId="140"/>
    <cellStyle name="Normal_Bieu mau TK tu 11 den 19 (ban phat hanh) 2" xfId="141"/>
    <cellStyle name="Note" xfId="142"/>
    <cellStyle name="Note 2" xfId="143"/>
    <cellStyle name="Note 3" xfId="144"/>
    <cellStyle name="Output" xfId="145"/>
    <cellStyle name="Output 2" xfId="146"/>
    <cellStyle name="Output 3" xfId="147"/>
    <cellStyle name="Percent" xfId="148"/>
    <cellStyle name="Percent 2" xfId="149"/>
    <cellStyle name="Percent 2 2" xfId="150"/>
    <cellStyle name="Percent 3" xfId="151"/>
    <cellStyle name="Title" xfId="152"/>
    <cellStyle name="Title 2" xfId="153"/>
    <cellStyle name="Title 3" xfId="154"/>
    <cellStyle name="Total" xfId="155"/>
    <cellStyle name="Total 2" xfId="156"/>
    <cellStyle name="Total 3" xfId="157"/>
    <cellStyle name="Warning Text" xfId="158"/>
    <cellStyle name="Warning Text 2" xfId="159"/>
    <cellStyle name="Warning Text 3" xfId="160"/>
  </cellStyles>
  <dxfs count="28">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rgb="FFFF0000"/>
      </font>
      <fill>
        <patternFill patternType="none">
          <bgColor indexed="65"/>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externalLink" Target="externalLinks/externalLink10.xml" /><Relationship Id="rId38" Type="http://schemas.openxmlformats.org/officeDocument/2006/relationships/externalLink" Target="externalLinks/externalLink11.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382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382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35</xdr:row>
      <xdr:rowOff>0</xdr:rowOff>
    </xdr:from>
    <xdr:ext cx="85725" cy="323850"/>
    <xdr:sp fLocksText="0">
      <xdr:nvSpPr>
        <xdr:cNvPr id="1" name="Text Box 1"/>
        <xdr:cNvSpPr txBox="1">
          <a:spLocks noChangeArrowheads="1"/>
        </xdr:cNvSpPr>
      </xdr:nvSpPr>
      <xdr:spPr>
        <a:xfrm>
          <a:off x="409575" y="7772400"/>
          <a:ext cx="85725" cy="3238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6" name="Text Box 7"/>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7" name="Text Box 11"/>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8" name="Text Box 7"/>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9" name="Text Box 11"/>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0" name="Text Box 7"/>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1" name="Text Box 11"/>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2" name="Text Box 7"/>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3" name="Text Box 11"/>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4" name="Text Box 7"/>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5" name="Text Box 11"/>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6" name="Text Box 7"/>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7" name="Text Box 11"/>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8" name="Text Box 7"/>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9" name="Text Box 11"/>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0" name="Text Box 7"/>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1" name="Text Box 11"/>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2" name="Text Box 7"/>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3" name="Text Box 11"/>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4" name="Text Box 7"/>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5" name="Text Box 11"/>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6" name="Text Box 7"/>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7" name="Text Box 11"/>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8" name="Text Box 7"/>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9" name="Text Box 11"/>
        <xdr:cNvSpPr txBox="1">
          <a:spLocks noChangeArrowheads="1"/>
        </xdr:cNvSpPr>
      </xdr:nvSpPr>
      <xdr:spPr>
        <a:xfrm>
          <a:off x="1466850" y="97345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9441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04800"/>
    <xdr:sp fLocksText="0">
      <xdr:nvSpPr>
        <xdr:cNvPr id="1" name="Text Box 7"/>
        <xdr:cNvSpPr txBox="1">
          <a:spLocks noChangeArrowheads="1"/>
        </xdr:cNvSpPr>
      </xdr:nvSpPr>
      <xdr:spPr>
        <a:xfrm>
          <a:off x="314325" y="743902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14325" y="74390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3" name="Text Box 1"/>
        <xdr:cNvSpPr txBox="1">
          <a:spLocks noChangeArrowheads="1"/>
        </xdr:cNvSpPr>
      </xdr:nvSpPr>
      <xdr:spPr>
        <a:xfrm>
          <a:off x="314325" y="743902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314325" y="74390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5" name="Text Box 1"/>
        <xdr:cNvSpPr txBox="1">
          <a:spLocks noChangeArrowheads="1"/>
        </xdr:cNvSpPr>
      </xdr:nvSpPr>
      <xdr:spPr>
        <a:xfrm>
          <a:off x="314325" y="743902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6" name="Text Box 7"/>
        <xdr:cNvSpPr txBox="1">
          <a:spLocks noChangeArrowheads="1"/>
        </xdr:cNvSpPr>
      </xdr:nvSpPr>
      <xdr:spPr>
        <a:xfrm>
          <a:off x="314325" y="743902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314325" y="74390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8" name="Text Box 1"/>
        <xdr:cNvSpPr txBox="1">
          <a:spLocks noChangeArrowheads="1"/>
        </xdr:cNvSpPr>
      </xdr:nvSpPr>
      <xdr:spPr>
        <a:xfrm>
          <a:off x="314325" y="743902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9" name="Text Box 7"/>
        <xdr:cNvSpPr txBox="1">
          <a:spLocks noChangeArrowheads="1"/>
        </xdr:cNvSpPr>
      </xdr:nvSpPr>
      <xdr:spPr>
        <a:xfrm>
          <a:off x="314325" y="743902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314325" y="74390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11" name="Text Box 1"/>
        <xdr:cNvSpPr txBox="1">
          <a:spLocks noChangeArrowheads="1"/>
        </xdr:cNvSpPr>
      </xdr:nvSpPr>
      <xdr:spPr>
        <a:xfrm>
          <a:off x="314325" y="743902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12" name="Text Box 7"/>
        <xdr:cNvSpPr txBox="1">
          <a:spLocks noChangeArrowheads="1"/>
        </xdr:cNvSpPr>
      </xdr:nvSpPr>
      <xdr:spPr>
        <a:xfrm>
          <a:off x="314325" y="743902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314325" y="74390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14" name="Text Box 1"/>
        <xdr:cNvSpPr txBox="1">
          <a:spLocks noChangeArrowheads="1"/>
        </xdr:cNvSpPr>
      </xdr:nvSpPr>
      <xdr:spPr>
        <a:xfrm>
          <a:off x="314325" y="743902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15" name="Text Box 7"/>
        <xdr:cNvSpPr txBox="1">
          <a:spLocks noChangeArrowheads="1"/>
        </xdr:cNvSpPr>
      </xdr:nvSpPr>
      <xdr:spPr>
        <a:xfrm>
          <a:off x="314325" y="743902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314325" y="74390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17" name="Text Box 1"/>
        <xdr:cNvSpPr txBox="1">
          <a:spLocks noChangeArrowheads="1"/>
        </xdr:cNvSpPr>
      </xdr:nvSpPr>
      <xdr:spPr>
        <a:xfrm>
          <a:off x="314325" y="743902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18" name="Text Box 7"/>
        <xdr:cNvSpPr txBox="1">
          <a:spLocks noChangeArrowheads="1"/>
        </xdr:cNvSpPr>
      </xdr:nvSpPr>
      <xdr:spPr>
        <a:xfrm>
          <a:off x="314325" y="743902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314325" y="74390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20" name="Text Box 1"/>
        <xdr:cNvSpPr txBox="1">
          <a:spLocks noChangeArrowheads="1"/>
        </xdr:cNvSpPr>
      </xdr:nvSpPr>
      <xdr:spPr>
        <a:xfrm>
          <a:off x="314325" y="743902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21" name="Text Box 7"/>
        <xdr:cNvSpPr txBox="1">
          <a:spLocks noChangeArrowheads="1"/>
        </xdr:cNvSpPr>
      </xdr:nvSpPr>
      <xdr:spPr>
        <a:xfrm>
          <a:off x="314325" y="743902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314325" y="74390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23" name="Text Box 1"/>
        <xdr:cNvSpPr txBox="1">
          <a:spLocks noChangeArrowheads="1"/>
        </xdr:cNvSpPr>
      </xdr:nvSpPr>
      <xdr:spPr>
        <a:xfrm>
          <a:off x="314325" y="743902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24" name="Text Box 7"/>
        <xdr:cNvSpPr txBox="1">
          <a:spLocks noChangeArrowheads="1"/>
        </xdr:cNvSpPr>
      </xdr:nvSpPr>
      <xdr:spPr>
        <a:xfrm>
          <a:off x="314325" y="743902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314325" y="74390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26" name="Text Box 1"/>
        <xdr:cNvSpPr txBox="1">
          <a:spLocks noChangeArrowheads="1"/>
        </xdr:cNvSpPr>
      </xdr:nvSpPr>
      <xdr:spPr>
        <a:xfrm>
          <a:off x="314325" y="743902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27" name="Text Box 7"/>
        <xdr:cNvSpPr txBox="1">
          <a:spLocks noChangeArrowheads="1"/>
        </xdr:cNvSpPr>
      </xdr:nvSpPr>
      <xdr:spPr>
        <a:xfrm>
          <a:off x="314325" y="743902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314325" y="74390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29" name="Text Box 1"/>
        <xdr:cNvSpPr txBox="1">
          <a:spLocks noChangeArrowheads="1"/>
        </xdr:cNvSpPr>
      </xdr:nvSpPr>
      <xdr:spPr>
        <a:xfrm>
          <a:off x="314325" y="743902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30" name="Text Box 7"/>
        <xdr:cNvSpPr txBox="1">
          <a:spLocks noChangeArrowheads="1"/>
        </xdr:cNvSpPr>
      </xdr:nvSpPr>
      <xdr:spPr>
        <a:xfrm>
          <a:off x="314325" y="743902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314325" y="74390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32" name="Text Box 1"/>
        <xdr:cNvSpPr txBox="1">
          <a:spLocks noChangeArrowheads="1"/>
        </xdr:cNvSpPr>
      </xdr:nvSpPr>
      <xdr:spPr>
        <a:xfrm>
          <a:off x="314325" y="743902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33" name="Text Box 7"/>
        <xdr:cNvSpPr txBox="1">
          <a:spLocks noChangeArrowheads="1"/>
        </xdr:cNvSpPr>
      </xdr:nvSpPr>
      <xdr:spPr>
        <a:xfrm>
          <a:off x="314325" y="743902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314325" y="74390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35" name="Text Box 1"/>
        <xdr:cNvSpPr txBox="1">
          <a:spLocks noChangeArrowheads="1"/>
        </xdr:cNvSpPr>
      </xdr:nvSpPr>
      <xdr:spPr>
        <a:xfrm>
          <a:off x="314325" y="743902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36" name="Text Box 7"/>
        <xdr:cNvSpPr txBox="1">
          <a:spLocks noChangeArrowheads="1"/>
        </xdr:cNvSpPr>
      </xdr:nvSpPr>
      <xdr:spPr>
        <a:xfrm>
          <a:off x="314325" y="7439025"/>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314325" y="74390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38" name="Text Box 1"/>
        <xdr:cNvSpPr txBox="1">
          <a:spLocks noChangeArrowheads="1"/>
        </xdr:cNvSpPr>
      </xdr:nvSpPr>
      <xdr:spPr>
        <a:xfrm>
          <a:off x="314325" y="7439025"/>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31</xdr:row>
      <xdr:rowOff>0</xdr:rowOff>
    </xdr:from>
    <xdr:ext cx="85725" cy="333375"/>
    <xdr:sp fLocksText="0">
      <xdr:nvSpPr>
        <xdr:cNvPr id="39" name="Text Box 7"/>
        <xdr:cNvSpPr txBox="1">
          <a:spLocks noChangeArrowheads="1"/>
        </xdr:cNvSpPr>
      </xdr:nvSpPr>
      <xdr:spPr>
        <a:xfrm>
          <a:off x="314325" y="8448675"/>
          <a:ext cx="8572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31</xdr:row>
      <xdr:rowOff>0</xdr:rowOff>
    </xdr:from>
    <xdr:ext cx="85725" cy="104775"/>
    <xdr:sp fLocksText="0">
      <xdr:nvSpPr>
        <xdr:cNvPr id="40" name="Text Box 1"/>
        <xdr:cNvSpPr txBox="1">
          <a:spLocks noChangeArrowheads="1"/>
        </xdr:cNvSpPr>
      </xdr:nvSpPr>
      <xdr:spPr>
        <a:xfrm>
          <a:off x="314325" y="844867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31</xdr:row>
      <xdr:rowOff>0</xdr:rowOff>
    </xdr:from>
    <xdr:ext cx="85725" cy="200025"/>
    <xdr:sp fLocksText="0">
      <xdr:nvSpPr>
        <xdr:cNvPr id="41" name="Text Box 1"/>
        <xdr:cNvSpPr txBox="1">
          <a:spLocks noChangeArrowheads="1"/>
        </xdr:cNvSpPr>
      </xdr:nvSpPr>
      <xdr:spPr>
        <a:xfrm>
          <a:off x="314325" y="84486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514350"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542925"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BAO%20C&#193;O%20C&#193;C%20HUY&#7878;N%2010%20TH&#193;NG%202016\Tp\B&#225;o%20c&#225;o%20th&#7889;ng%20k&#7871;%20theo%20bi&#7875;u%20m&#7851;u%20m&#7899;i%2010%20th&#225;ng%20n&#259;m%202016%20(version%201)%20(version%201)%20-%20Copy.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N&#258;M%202016-2017%20B&#193;O%20C&#193;O\BC%20TH&#212;NG%20K&#202;%20HUY&#202;N%209%20TH&#193;NG%20N&#258;M%202017\NH\9%20thang%202017-%20co%20qu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Q. Huy(biểu5)"/>
      <sheetName val="Hồng(biểu5)"/>
      <sheetName val="A. Huy (biểu 5)"/>
      <sheetName val="Tiến (biểu 5)"/>
      <sheetName val="Úy (biểu 5)"/>
      <sheetName val="Cường(biểu 5)"/>
      <sheetName val="Đ. Thủy (biểu 5)"/>
      <sheetName val="C. Thủy (biểu 5)"/>
      <sheetName val="Q. Huy(tiềnTD)"/>
      <sheetName val="Hồng(tiềnTD)"/>
      <sheetName val="A. Huy(tiềnTD)"/>
      <sheetName val="Tiến( tiền TD)"/>
      <sheetName val="Úy( tiền TD)"/>
      <sheetName val="Cường(tiềnTD)"/>
      <sheetName val="Đỗ Thủy (tiềnTD)"/>
      <sheetName val="C. Thủy ( tiền TD)"/>
      <sheetName val="Q. Huy(tiềnCD)"/>
      <sheetName val="Hồng (tiềnCD)"/>
      <sheetName val="A. Huy(tiềnCD)"/>
      <sheetName val="Tiến(tiềnCD)"/>
      <sheetName val="Úy(tiềnCD)"/>
      <sheetName val="Cường(tiềnCD)"/>
      <sheetName val="Đỗ Thủy(tiền CD)"/>
      <sheetName val="C. Thủy(tiềnCD)"/>
      <sheetName val="Q. Huy TD"/>
      <sheetName val="D. Hồng TD"/>
      <sheetName val="A. Huy "/>
      <sheetName val="Đ. Tiến"/>
      <sheetName val="Úy "/>
      <sheetName val="Q. Cường"/>
      <sheetName val="H. Thủy"/>
      <sheetName val="C. Thuy TD"/>
      <sheetName val="Q. Huy"/>
      <sheetName val="Hồng"/>
      <sheetName val="A. Huy"/>
      <sheetName val="Tiến"/>
      <sheetName val="Úy"/>
      <sheetName val="Cường"/>
      <sheetName val="H. Thủy CD"/>
      <sheetName val="c. THỦY. CD"/>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0.vml" /><Relationship Id="rId3" Type="http://schemas.openxmlformats.org/officeDocument/2006/relationships/drawing" Target="../drawings/drawing6.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1.vml" /><Relationship Id="rId3"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977" t="s">
        <v>27</v>
      </c>
      <c r="B1" s="977"/>
      <c r="C1" s="976" t="s">
        <v>90</v>
      </c>
      <c r="D1" s="976"/>
      <c r="E1" s="976"/>
      <c r="F1" s="978" t="s">
        <v>86</v>
      </c>
      <c r="G1" s="978"/>
      <c r="H1" s="978"/>
    </row>
    <row r="2" spans="1:8" ht="33.75" customHeight="1">
      <c r="A2" s="979" t="s">
        <v>94</v>
      </c>
      <c r="B2" s="979"/>
      <c r="C2" s="976"/>
      <c r="D2" s="976"/>
      <c r="E2" s="976"/>
      <c r="F2" s="975" t="s">
        <v>87</v>
      </c>
      <c r="G2" s="975"/>
      <c r="H2" s="975"/>
    </row>
    <row r="3" spans="1:8" ht="19.5" customHeight="1">
      <c r="A3" s="9" t="s">
        <v>80</v>
      </c>
      <c r="B3" s="9"/>
      <c r="C3" s="27"/>
      <c r="D3" s="27"/>
      <c r="E3" s="27"/>
      <c r="F3" s="975" t="s">
        <v>88</v>
      </c>
      <c r="G3" s="975"/>
      <c r="H3" s="975"/>
    </row>
    <row r="4" spans="1:8" s="10" customFormat="1" ht="19.5" customHeight="1">
      <c r="A4" s="9"/>
      <c r="B4" s="9"/>
      <c r="D4" s="11"/>
      <c r="F4" s="12" t="s">
        <v>89</v>
      </c>
      <c r="G4" s="12"/>
      <c r="H4" s="12"/>
    </row>
    <row r="5" spans="1:8" s="26" customFormat="1" ht="36" customHeight="1">
      <c r="A5" s="957" t="s">
        <v>71</v>
      </c>
      <c r="B5" s="958"/>
      <c r="C5" s="961" t="s">
        <v>84</v>
      </c>
      <c r="D5" s="962"/>
      <c r="E5" s="963" t="s">
        <v>83</v>
      </c>
      <c r="F5" s="963"/>
      <c r="G5" s="963"/>
      <c r="H5" s="964"/>
    </row>
    <row r="6" spans="1:8" s="26" customFormat="1" ht="20.25" customHeight="1">
      <c r="A6" s="959"/>
      <c r="B6" s="960"/>
      <c r="C6" s="965" t="s">
        <v>3</v>
      </c>
      <c r="D6" s="965" t="s">
        <v>91</v>
      </c>
      <c r="E6" s="967" t="s">
        <v>85</v>
      </c>
      <c r="F6" s="964"/>
      <c r="G6" s="967" t="s">
        <v>92</v>
      </c>
      <c r="H6" s="964"/>
    </row>
    <row r="7" spans="1:8" s="26" customFormat="1" ht="52.5" customHeight="1">
      <c r="A7" s="959"/>
      <c r="B7" s="960"/>
      <c r="C7" s="966"/>
      <c r="D7" s="966"/>
      <c r="E7" s="8" t="s">
        <v>3</v>
      </c>
      <c r="F7" s="8" t="s">
        <v>10</v>
      </c>
      <c r="G7" s="8" t="s">
        <v>3</v>
      </c>
      <c r="H7" s="8" t="s">
        <v>10</v>
      </c>
    </row>
    <row r="8" spans="1:8" ht="15" customHeight="1">
      <c r="A8" s="969" t="s">
        <v>6</v>
      </c>
      <c r="B8" s="970"/>
      <c r="C8" s="13">
        <v>1</v>
      </c>
      <c r="D8" s="13" t="s">
        <v>52</v>
      </c>
      <c r="E8" s="13" t="s">
        <v>57</v>
      </c>
      <c r="F8" s="13" t="s">
        <v>72</v>
      </c>
      <c r="G8" s="13" t="s">
        <v>73</v>
      </c>
      <c r="H8" s="13" t="s">
        <v>74</v>
      </c>
    </row>
    <row r="9" spans="1:8" ht="26.25" customHeight="1">
      <c r="A9" s="971" t="s">
        <v>40</v>
      </c>
      <c r="B9" s="972"/>
      <c r="C9" s="13"/>
      <c r="D9" s="13"/>
      <c r="E9" s="13"/>
      <c r="F9" s="13"/>
      <c r="G9" s="13"/>
      <c r="H9" s="13"/>
    </row>
    <row r="10" spans="1:8" ht="24.75" customHeight="1">
      <c r="A10" s="14" t="s">
        <v>0</v>
      </c>
      <c r="B10" s="15" t="s">
        <v>11</v>
      </c>
      <c r="C10" s="7"/>
      <c r="D10" s="16"/>
      <c r="E10" s="16"/>
      <c r="F10" s="16"/>
      <c r="G10" s="16"/>
      <c r="H10" s="16"/>
    </row>
    <row r="11" spans="1:8" ht="24.75" customHeight="1">
      <c r="A11" s="17" t="s">
        <v>1</v>
      </c>
      <c r="B11" s="18" t="s">
        <v>12</v>
      </c>
      <c r="C11" s="7"/>
      <c r="D11" s="16"/>
      <c r="E11" s="16"/>
      <c r="F11" s="16"/>
      <c r="G11" s="16"/>
      <c r="H11" s="16"/>
    </row>
    <row r="12" spans="1:8" ht="24.75" customHeight="1">
      <c r="A12" s="19" t="s">
        <v>51</v>
      </c>
      <c r="B12" s="7" t="s">
        <v>13</v>
      </c>
      <c r="C12" s="7"/>
      <c r="D12" s="16"/>
      <c r="E12" s="16"/>
      <c r="F12" s="16"/>
      <c r="G12" s="16"/>
      <c r="H12" s="16"/>
    </row>
    <row r="13" spans="1:8" ht="24.75" customHeight="1">
      <c r="A13" s="19" t="s">
        <v>52</v>
      </c>
      <c r="B13" s="7" t="s">
        <v>13</v>
      </c>
      <c r="C13" s="7"/>
      <c r="D13" s="16"/>
      <c r="E13" s="16"/>
      <c r="F13" s="16"/>
      <c r="G13" s="16"/>
      <c r="H13" s="16"/>
    </row>
    <row r="14" spans="1:8" ht="24.75" customHeight="1">
      <c r="A14" s="19" t="s">
        <v>57</v>
      </c>
      <c r="B14" s="7" t="s">
        <v>13</v>
      </c>
      <c r="C14" s="7"/>
      <c r="D14" s="16"/>
      <c r="E14" s="16"/>
      <c r="F14" s="16"/>
      <c r="G14" s="16"/>
      <c r="H14" s="16"/>
    </row>
    <row r="15" spans="1:8" ht="24.75" customHeight="1">
      <c r="A15" s="19" t="s">
        <v>19</v>
      </c>
      <c r="B15" s="28" t="s">
        <v>19</v>
      </c>
      <c r="C15" s="20"/>
      <c r="D15" s="21"/>
      <c r="E15" s="21"/>
      <c r="F15" s="21"/>
      <c r="G15" s="21"/>
      <c r="H15" s="21"/>
    </row>
    <row r="16" spans="2:8" ht="16.5" customHeight="1">
      <c r="B16" s="973" t="s">
        <v>67</v>
      </c>
      <c r="C16" s="973"/>
      <c r="D16" s="29"/>
      <c r="E16" s="954" t="s">
        <v>20</v>
      </c>
      <c r="F16" s="954"/>
      <c r="G16" s="954"/>
      <c r="H16" s="954"/>
    </row>
    <row r="17" spans="2:8" ht="15.75" customHeight="1">
      <c r="B17" s="973"/>
      <c r="C17" s="973"/>
      <c r="D17" s="29"/>
      <c r="E17" s="955" t="s">
        <v>45</v>
      </c>
      <c r="F17" s="955"/>
      <c r="G17" s="955"/>
      <c r="H17" s="955"/>
    </row>
    <row r="18" spans="2:8" s="30" customFormat="1" ht="15.75" customHeight="1">
      <c r="B18" s="973"/>
      <c r="C18" s="973"/>
      <c r="D18" s="31"/>
      <c r="E18" s="956" t="s">
        <v>66</v>
      </c>
      <c r="F18" s="956"/>
      <c r="G18" s="956"/>
      <c r="H18" s="956"/>
    </row>
    <row r="20" ht="15.75">
      <c r="B20" s="22"/>
    </row>
    <row r="22" ht="15.75" hidden="1">
      <c r="A22" s="23" t="s">
        <v>48</v>
      </c>
    </row>
    <row r="23" spans="1:3" ht="15.75" hidden="1">
      <c r="A23" s="24"/>
      <c r="B23" s="974" t="s">
        <v>58</v>
      </c>
      <c r="C23" s="974"/>
    </row>
    <row r="24" spans="1:8" ht="15.75" customHeight="1" hidden="1">
      <c r="A24" s="25" t="s">
        <v>26</v>
      </c>
      <c r="B24" s="968" t="s">
        <v>62</v>
      </c>
      <c r="C24" s="968"/>
      <c r="D24" s="25"/>
      <c r="E24" s="25"/>
      <c r="F24" s="25"/>
      <c r="G24" s="25"/>
      <c r="H24" s="25"/>
    </row>
    <row r="25" spans="1:8" ht="15" customHeight="1" hidden="1">
      <c r="A25" s="25"/>
      <c r="B25" s="968" t="s">
        <v>65</v>
      </c>
      <c r="C25" s="968"/>
      <c r="D25" s="968"/>
      <c r="E25" s="25"/>
      <c r="F25" s="25"/>
      <c r="G25" s="25"/>
      <c r="H25" s="25"/>
    </row>
    <row r="26" spans="2:3" ht="15.75">
      <c r="B26" s="26"/>
      <c r="C26" s="26"/>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144" t="s">
        <v>322</v>
      </c>
      <c r="B1" s="1144"/>
      <c r="C1" s="1144"/>
      <c r="D1" s="1147" t="s">
        <v>449</v>
      </c>
      <c r="E1" s="1147"/>
      <c r="F1" s="1147"/>
      <c r="G1" s="1147"/>
      <c r="H1" s="1147"/>
      <c r="I1" s="1147"/>
      <c r="J1" s="200" t="s">
        <v>450</v>
      </c>
      <c r="K1" s="331"/>
      <c r="L1" s="331"/>
    </row>
    <row r="2" spans="1:12" ht="18.75" customHeight="1">
      <c r="A2" s="1145" t="s">
        <v>408</v>
      </c>
      <c r="B2" s="1145"/>
      <c r="C2" s="1145"/>
      <c r="D2" s="1234" t="s">
        <v>323</v>
      </c>
      <c r="E2" s="1234"/>
      <c r="F2" s="1234"/>
      <c r="G2" s="1234"/>
      <c r="H2" s="1234"/>
      <c r="I2" s="1234"/>
      <c r="J2" s="1144" t="s">
        <v>451</v>
      </c>
      <c r="K2" s="1144"/>
      <c r="L2" s="1144"/>
    </row>
    <row r="3" spans="1:12" ht="17.25">
      <c r="A3" s="1145" t="s">
        <v>360</v>
      </c>
      <c r="B3" s="1145"/>
      <c r="C3" s="1145"/>
      <c r="D3" s="1235" t="s">
        <v>452</v>
      </c>
      <c r="E3" s="1236"/>
      <c r="F3" s="1236"/>
      <c r="G3" s="1236"/>
      <c r="H3" s="1236"/>
      <c r="I3" s="1236"/>
      <c r="J3" s="203" t="s">
        <v>468</v>
      </c>
      <c r="K3" s="203"/>
      <c r="L3" s="203"/>
    </row>
    <row r="4" spans="1:12" ht="15.75">
      <c r="A4" s="1238" t="s">
        <v>453</v>
      </c>
      <c r="B4" s="1238"/>
      <c r="C4" s="1238"/>
      <c r="D4" s="1239"/>
      <c r="E4" s="1239"/>
      <c r="F4" s="1239"/>
      <c r="G4" s="1239"/>
      <c r="H4" s="1239"/>
      <c r="I4" s="1239"/>
      <c r="J4" s="1142" t="s">
        <v>410</v>
      </c>
      <c r="K4" s="1142"/>
      <c r="L4" s="1142"/>
    </row>
    <row r="5" spans="1:13" ht="15.75">
      <c r="A5" s="333"/>
      <c r="B5" s="333"/>
      <c r="C5" s="334"/>
      <c r="D5" s="334"/>
      <c r="E5" s="202"/>
      <c r="J5" s="335" t="s">
        <v>454</v>
      </c>
      <c r="K5" s="250"/>
      <c r="L5" s="250"/>
      <c r="M5" s="250"/>
    </row>
    <row r="6" spans="1:13" s="338" customFormat="1" ht="24.75" customHeight="1">
      <c r="A6" s="1242" t="s">
        <v>71</v>
      </c>
      <c r="B6" s="1243"/>
      <c r="C6" s="1237" t="s">
        <v>455</v>
      </c>
      <c r="D6" s="1237"/>
      <c r="E6" s="1237"/>
      <c r="F6" s="1237"/>
      <c r="G6" s="1237"/>
      <c r="H6" s="1237"/>
      <c r="I6" s="1237" t="s">
        <v>324</v>
      </c>
      <c r="J6" s="1237"/>
      <c r="K6" s="1237"/>
      <c r="L6" s="1237"/>
      <c r="M6" s="337"/>
    </row>
    <row r="7" spans="1:13" s="338" customFormat="1" ht="17.25" customHeight="1">
      <c r="A7" s="1244"/>
      <c r="B7" s="1245"/>
      <c r="C7" s="1237" t="s">
        <v>37</v>
      </c>
      <c r="D7" s="1237"/>
      <c r="E7" s="1237" t="s">
        <v>7</v>
      </c>
      <c r="F7" s="1237"/>
      <c r="G7" s="1237"/>
      <c r="H7" s="1237"/>
      <c r="I7" s="1237" t="s">
        <v>325</v>
      </c>
      <c r="J7" s="1237"/>
      <c r="K7" s="1237" t="s">
        <v>326</v>
      </c>
      <c r="L7" s="1237"/>
      <c r="M7" s="337"/>
    </row>
    <row r="8" spans="1:12" s="338" customFormat="1" ht="27.75" customHeight="1">
      <c r="A8" s="1244"/>
      <c r="B8" s="1245"/>
      <c r="C8" s="1237"/>
      <c r="D8" s="1237"/>
      <c r="E8" s="1237" t="s">
        <v>327</v>
      </c>
      <c r="F8" s="1237"/>
      <c r="G8" s="1237" t="s">
        <v>328</v>
      </c>
      <c r="H8" s="1237"/>
      <c r="I8" s="1237"/>
      <c r="J8" s="1237"/>
      <c r="K8" s="1237"/>
      <c r="L8" s="1237"/>
    </row>
    <row r="9" spans="1:12" s="338" customFormat="1" ht="24.75" customHeight="1">
      <c r="A9" s="1246"/>
      <c r="B9" s="1247"/>
      <c r="C9" s="336" t="s">
        <v>329</v>
      </c>
      <c r="D9" s="336" t="s">
        <v>10</v>
      </c>
      <c r="E9" s="336" t="s">
        <v>3</v>
      </c>
      <c r="F9" s="336" t="s">
        <v>330</v>
      </c>
      <c r="G9" s="336" t="s">
        <v>3</v>
      </c>
      <c r="H9" s="336" t="s">
        <v>330</v>
      </c>
      <c r="I9" s="336" t="s">
        <v>3</v>
      </c>
      <c r="J9" s="336" t="s">
        <v>330</v>
      </c>
      <c r="K9" s="336" t="s">
        <v>3</v>
      </c>
      <c r="L9" s="336" t="s">
        <v>330</v>
      </c>
    </row>
    <row r="10" spans="1:12" s="340" customFormat="1" ht="15.75">
      <c r="A10" s="1170" t="s">
        <v>6</v>
      </c>
      <c r="B10" s="1171"/>
      <c r="C10" s="339">
        <v>1</v>
      </c>
      <c r="D10" s="339">
        <v>2</v>
      </c>
      <c r="E10" s="339">
        <v>3</v>
      </c>
      <c r="F10" s="339">
        <v>4</v>
      </c>
      <c r="G10" s="339">
        <v>5</v>
      </c>
      <c r="H10" s="339">
        <v>6</v>
      </c>
      <c r="I10" s="339">
        <v>7</v>
      </c>
      <c r="J10" s="339">
        <v>8</v>
      </c>
      <c r="K10" s="339">
        <v>9</v>
      </c>
      <c r="L10" s="339">
        <v>10</v>
      </c>
    </row>
    <row r="11" spans="1:12" s="340" customFormat="1" ht="30.75" customHeight="1">
      <c r="A11" s="1157" t="s">
        <v>405</v>
      </c>
      <c r="B11" s="1158"/>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162" t="s">
        <v>406</v>
      </c>
      <c r="B12" s="1163"/>
      <c r="C12" s="258">
        <v>0</v>
      </c>
      <c r="D12" s="258">
        <v>0</v>
      </c>
      <c r="E12" s="258">
        <v>0</v>
      </c>
      <c r="F12" s="258">
        <v>0</v>
      </c>
      <c r="G12" s="258">
        <v>0</v>
      </c>
      <c r="H12" s="258">
        <v>0</v>
      </c>
      <c r="I12" s="258">
        <v>0</v>
      </c>
      <c r="J12" s="258">
        <v>0</v>
      </c>
      <c r="K12" s="258">
        <v>0</v>
      </c>
      <c r="L12" s="258">
        <v>0</v>
      </c>
    </row>
    <row r="13" spans="1:32" s="340" customFormat="1" ht="17.25" customHeight="1">
      <c r="A13" s="1166" t="s">
        <v>36</v>
      </c>
      <c r="B13" s="1135"/>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97</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18</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375</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407</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378</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379</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380</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381</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386</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388</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389</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390</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392</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160" t="s">
        <v>393</v>
      </c>
      <c r="C28" s="1160"/>
      <c r="D28" s="1160"/>
      <c r="E28" s="213"/>
      <c r="F28" s="267"/>
      <c r="G28" s="267"/>
      <c r="H28" s="1159" t="s">
        <v>393</v>
      </c>
      <c r="I28" s="1159"/>
      <c r="J28" s="1159"/>
      <c r="K28" s="1159"/>
      <c r="L28" s="1159"/>
      <c r="AG28" s="201" t="s">
        <v>394</v>
      </c>
      <c r="AI28" s="199">
        <f>82/88</f>
        <v>0.9318181818181818</v>
      </c>
    </row>
    <row r="29" spans="1:12" s="201" customFormat="1" ht="19.5" customHeight="1">
      <c r="A29" s="211"/>
      <c r="B29" s="1161" t="s">
        <v>331</v>
      </c>
      <c r="C29" s="1161"/>
      <c r="D29" s="1161"/>
      <c r="E29" s="213"/>
      <c r="F29" s="214"/>
      <c r="G29" s="214"/>
      <c r="H29" s="1165" t="s">
        <v>249</v>
      </c>
      <c r="I29" s="1165"/>
      <c r="J29" s="1165"/>
      <c r="K29" s="1165"/>
      <c r="L29" s="1165"/>
    </row>
    <row r="30" spans="1:12" s="205" customFormat="1" ht="15" customHeight="1">
      <c r="A30" s="211"/>
      <c r="B30" s="1241"/>
      <c r="C30" s="1241"/>
      <c r="D30" s="1241"/>
      <c r="E30" s="213"/>
      <c r="F30" s="214"/>
      <c r="G30" s="214"/>
      <c r="H30" s="1114"/>
      <c r="I30" s="1114"/>
      <c r="J30" s="1114"/>
      <c r="K30" s="1114"/>
      <c r="L30" s="1114"/>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248" t="s">
        <v>397</v>
      </c>
      <c r="C33" s="1248"/>
      <c r="D33" s="1248"/>
      <c r="E33" s="345"/>
      <c r="F33" s="345"/>
      <c r="G33" s="345"/>
      <c r="H33" s="345"/>
      <c r="I33" s="345"/>
      <c r="J33" s="346" t="s">
        <v>397</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46</v>
      </c>
      <c r="B36" s="195"/>
      <c r="C36" s="195"/>
      <c r="D36" s="195"/>
      <c r="E36" s="195"/>
      <c r="F36" s="195"/>
      <c r="G36" s="195"/>
      <c r="H36" s="195"/>
      <c r="I36" s="195"/>
      <c r="J36" s="195"/>
      <c r="K36" s="347"/>
      <c r="L36" s="195"/>
    </row>
    <row r="37" spans="1:15" s="193" customFormat="1" ht="15" customHeight="1" hidden="1">
      <c r="A37" s="197"/>
      <c r="B37" s="1240" t="s">
        <v>332</v>
      </c>
      <c r="C37" s="1240"/>
      <c r="D37" s="1240"/>
      <c r="E37" s="1240"/>
      <c r="F37" s="1240"/>
      <c r="G37" s="1240"/>
      <c r="H37" s="1240"/>
      <c r="I37" s="1240"/>
      <c r="J37" s="1240"/>
      <c r="K37" s="348"/>
      <c r="L37" s="303"/>
      <c r="M37" s="274"/>
      <c r="N37" s="274"/>
      <c r="O37" s="274"/>
    </row>
    <row r="38" spans="2:12" s="193" customFormat="1" ht="18.75" hidden="1">
      <c r="B38" s="245" t="s">
        <v>333</v>
      </c>
      <c r="C38" s="195"/>
      <c r="D38" s="195"/>
      <c r="E38" s="195"/>
      <c r="F38" s="195"/>
      <c r="G38" s="195"/>
      <c r="H38" s="195"/>
      <c r="I38" s="195"/>
      <c r="J38" s="195"/>
      <c r="K38" s="347"/>
      <c r="L38" s="195"/>
    </row>
    <row r="39" spans="2:12" ht="18.75" hidden="1">
      <c r="B39" s="349" t="s">
        <v>334</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1015" t="s">
        <v>439</v>
      </c>
      <c r="C41" s="1015"/>
      <c r="D41" s="1015"/>
      <c r="E41" s="219"/>
      <c r="F41" s="219"/>
      <c r="G41" s="191"/>
      <c r="H41" s="1016" t="s">
        <v>351</v>
      </c>
      <c r="I41" s="1016"/>
      <c r="J41" s="1016"/>
      <c r="K41" s="1016"/>
      <c r="L41" s="1016"/>
      <c r="M41" s="172"/>
    </row>
    <row r="42" spans="2:12" ht="18.75">
      <c r="B42" s="345"/>
      <c r="C42" s="345"/>
      <c r="D42" s="345"/>
      <c r="E42" s="345"/>
      <c r="F42" s="345"/>
      <c r="G42" s="345"/>
      <c r="H42" s="345"/>
      <c r="I42" s="345"/>
      <c r="J42" s="345"/>
      <c r="K42" s="345"/>
      <c r="L42" s="345"/>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249" t="s">
        <v>481</v>
      </c>
      <c r="M1" s="1250"/>
      <c r="N1" s="1250"/>
      <c r="O1" s="374"/>
      <c r="P1" s="374"/>
      <c r="Q1" s="374"/>
      <c r="R1" s="374"/>
      <c r="S1" s="374"/>
      <c r="T1" s="374"/>
      <c r="U1" s="374"/>
      <c r="V1" s="374"/>
      <c r="W1" s="374"/>
      <c r="X1" s="374"/>
      <c r="Y1" s="375"/>
    </row>
    <row r="2" spans="11:17" ht="34.5" customHeight="1">
      <c r="K2" s="358"/>
      <c r="L2" s="1251" t="s">
        <v>488</v>
      </c>
      <c r="M2" s="1252"/>
      <c r="N2" s="1253"/>
      <c r="O2" s="38"/>
      <c r="P2" s="360"/>
      <c r="Q2" s="356"/>
    </row>
    <row r="3" spans="11:18" ht="31.5" customHeight="1">
      <c r="K3" s="358"/>
      <c r="L3" s="363" t="s">
        <v>497</v>
      </c>
      <c r="M3" s="364">
        <f>'06'!C11</f>
        <v>2944</v>
      </c>
      <c r="N3" s="364"/>
      <c r="O3" s="364"/>
      <c r="P3" s="361"/>
      <c r="Q3" s="357"/>
      <c r="R3" s="354"/>
    </row>
    <row r="4" spans="11:18" ht="30" customHeight="1">
      <c r="K4" s="358"/>
      <c r="L4" s="365" t="s">
        <v>482</v>
      </c>
      <c r="M4" s="366">
        <f>'06'!D11</f>
        <v>1580</v>
      </c>
      <c r="N4" s="364"/>
      <c r="O4" s="364"/>
      <c r="P4" s="361"/>
      <c r="Q4" s="357"/>
      <c r="R4" s="354"/>
    </row>
    <row r="5" spans="11:18" ht="31.5" customHeight="1">
      <c r="K5" s="358"/>
      <c r="L5" s="365" t="s">
        <v>483</v>
      </c>
      <c r="M5" s="366">
        <f>'06'!E11</f>
        <v>1364</v>
      </c>
      <c r="N5" s="364"/>
      <c r="O5" s="364"/>
      <c r="P5" s="361"/>
      <c r="Q5" s="357"/>
      <c r="R5" s="354"/>
    </row>
    <row r="6" spans="11:18" ht="27" customHeight="1">
      <c r="K6" s="358"/>
      <c r="L6" s="363" t="s">
        <v>484</v>
      </c>
      <c r="M6" s="364">
        <f>'06'!F11</f>
        <v>11</v>
      </c>
      <c r="N6" s="364"/>
      <c r="O6" s="364"/>
      <c r="P6" s="361"/>
      <c r="Q6" s="357"/>
      <c r="R6" s="354"/>
    </row>
    <row r="7" spans="11:18" s="351" customFormat="1" ht="30" customHeight="1">
      <c r="K7" s="359"/>
      <c r="L7" s="367" t="s">
        <v>509</v>
      </c>
      <c r="M7" s="364">
        <f>'06'!H11</f>
        <v>2933</v>
      </c>
      <c r="N7" s="364"/>
      <c r="O7" s="364"/>
      <c r="P7" s="361"/>
      <c r="Q7" s="357"/>
      <c r="R7" s="354"/>
    </row>
    <row r="8" spans="11:18" ht="30.75" customHeight="1">
      <c r="K8" s="358"/>
      <c r="L8" s="368" t="s">
        <v>508</v>
      </c>
      <c r="M8" s="369">
        <f>'[7]M6 Tong hop Viec CHV '!$C$12</f>
        <v>1489</v>
      </c>
      <c r="N8" s="364"/>
      <c r="O8" s="364"/>
      <c r="P8" s="361"/>
      <c r="Q8" s="357"/>
      <c r="R8" s="354"/>
    </row>
    <row r="9" spans="11:18" ht="33" customHeight="1">
      <c r="K9" s="358"/>
      <c r="L9" s="376" t="s">
        <v>511</v>
      </c>
      <c r="M9" s="377">
        <f>(M7-M8)/M8</f>
        <v>0.9697783747481531</v>
      </c>
      <c r="N9" s="364"/>
      <c r="O9" s="364"/>
      <c r="P9" s="361"/>
      <c r="Q9" s="357"/>
      <c r="R9" s="354"/>
    </row>
    <row r="10" spans="11:18" ht="33" customHeight="1">
      <c r="K10" s="358"/>
      <c r="L10" s="363" t="s">
        <v>510</v>
      </c>
      <c r="M10" s="364">
        <f>'06'!I11</f>
        <v>1675</v>
      </c>
      <c r="N10" s="364" t="s">
        <v>485</v>
      </c>
      <c r="O10" s="370">
        <f>M10/M7</f>
        <v>0.5710876235935902</v>
      </c>
      <c r="P10" s="361"/>
      <c r="Q10" s="357"/>
      <c r="R10" s="354"/>
    </row>
    <row r="11" spans="11:18" ht="22.5" customHeight="1">
      <c r="K11" s="358"/>
      <c r="L11" s="363" t="s">
        <v>512</v>
      </c>
      <c r="M11" s="364">
        <f>'06'!Q11</f>
        <v>1258</v>
      </c>
      <c r="N11" s="364" t="s">
        <v>485</v>
      </c>
      <c r="O11" s="370">
        <f>M11/M7</f>
        <v>0.42891237640640983</v>
      </c>
      <c r="P11" s="361"/>
      <c r="Q11" s="357"/>
      <c r="R11" s="354"/>
    </row>
    <row r="12" spans="11:18" ht="34.5" customHeight="1">
      <c r="K12" s="358"/>
      <c r="L12" s="363" t="s">
        <v>513</v>
      </c>
      <c r="M12" s="364">
        <f>'06'!J11+'06'!K11</f>
        <v>1169</v>
      </c>
      <c r="N12" s="363"/>
      <c r="O12" s="363"/>
      <c r="P12" s="355"/>
      <c r="R12" s="355"/>
    </row>
    <row r="13" spans="11:18" ht="33.75" customHeight="1">
      <c r="K13" s="358"/>
      <c r="L13" s="363" t="s">
        <v>514</v>
      </c>
      <c r="M13" s="370">
        <f>M12/M7</f>
        <v>0.39856801909307876</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515</v>
      </c>
      <c r="M16" s="369">
        <f>'[7]M6 Tong hop Viec CHV '!$H$12+'[7]M6 Tong hop Viec CHV '!$I$12+'[7]M6 Tong hop Viec CHV '!$K$12</f>
        <v>749</v>
      </c>
      <c r="N16" s="364"/>
      <c r="O16" s="364"/>
      <c r="P16" s="361"/>
      <c r="R16" s="355"/>
    </row>
    <row r="17" spans="11:18" ht="24.75" customHeight="1">
      <c r="K17" s="358"/>
      <c r="L17" s="376" t="s">
        <v>516</v>
      </c>
      <c r="M17" s="371">
        <f>M16/M8</f>
        <v>0.5030221625251847</v>
      </c>
      <c r="N17" s="364"/>
      <c r="O17" s="364"/>
      <c r="P17" s="361"/>
      <c r="R17" s="355"/>
    </row>
    <row r="18" spans="11:18" ht="26.25" customHeight="1">
      <c r="K18" s="358"/>
      <c r="L18" s="376" t="s">
        <v>486</v>
      </c>
      <c r="M18" s="377">
        <f>M13-M17</f>
        <v>-0.10445414343210596</v>
      </c>
      <c r="N18" s="364"/>
      <c r="O18" s="364"/>
      <c r="P18" s="361"/>
      <c r="R18" s="355"/>
    </row>
    <row r="19" spans="11:18" ht="24.75" customHeight="1">
      <c r="K19" s="358"/>
      <c r="L19" s="363" t="s">
        <v>517</v>
      </c>
      <c r="M19" s="364">
        <f>'06'!J11</f>
        <v>1154</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518</v>
      </c>
      <c r="M26" s="370">
        <f>M19/'06'!I11</f>
        <v>0.688955223880597</v>
      </c>
      <c r="N26" s="364"/>
      <c r="O26" s="364"/>
      <c r="P26" s="361"/>
      <c r="R26" s="355"/>
    </row>
    <row r="27" spans="11:18" ht="24.75" customHeight="1">
      <c r="K27" s="358"/>
      <c r="L27" s="368" t="s">
        <v>519</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520</v>
      </c>
      <c r="M30" s="370">
        <f>M26-M27</f>
        <v>0.016293353376999886</v>
      </c>
      <c r="N30" s="364"/>
      <c r="O30" s="364"/>
      <c r="P30" s="361"/>
      <c r="R30" s="355"/>
    </row>
    <row r="31" spans="11:18" ht="24.75" customHeight="1">
      <c r="K31" s="358"/>
      <c r="L31" s="363" t="s">
        <v>521</v>
      </c>
      <c r="M31" s="364">
        <f>'06'!R11</f>
        <v>1764</v>
      </c>
      <c r="N31" s="364"/>
      <c r="O31" s="364"/>
      <c r="P31" s="361"/>
      <c r="R31" s="355"/>
    </row>
    <row r="32" spans="11:18" ht="24.75" customHeight="1">
      <c r="K32" s="358"/>
      <c r="L32" s="368" t="s">
        <v>522</v>
      </c>
      <c r="M32" s="369">
        <f>'[7]M6 Tong hop Viec CHV '!$R$12</f>
        <v>719</v>
      </c>
      <c r="N32" s="364"/>
      <c r="O32" s="364"/>
      <c r="P32" s="361"/>
      <c r="R32" s="355"/>
    </row>
    <row r="33" spans="11:18" ht="24.75" customHeight="1">
      <c r="K33" s="358"/>
      <c r="L33" s="376" t="s">
        <v>523</v>
      </c>
      <c r="M33" s="378">
        <f>M31-M32</f>
        <v>1045</v>
      </c>
      <c r="N33" s="378" t="s">
        <v>487</v>
      </c>
      <c r="O33" s="377">
        <f>(M31-M32)/M32</f>
        <v>1.4534075104311543</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489</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524</v>
      </c>
      <c r="M42" s="364">
        <f>'07'!C11</f>
        <v>108990213</v>
      </c>
      <c r="N42" s="364"/>
      <c r="O42" s="364"/>
      <c r="P42" s="355"/>
      <c r="R42" s="355"/>
    </row>
    <row r="43" spans="11:18" ht="24.75" customHeight="1">
      <c r="K43" s="358"/>
      <c r="L43" s="372" t="s">
        <v>131</v>
      </c>
      <c r="M43" s="364">
        <f>'07'!D11</f>
        <v>95712620</v>
      </c>
      <c r="N43" s="364"/>
      <c r="O43" s="364"/>
      <c r="P43" s="355"/>
      <c r="R43" s="355"/>
    </row>
    <row r="44" spans="11:18" ht="24.75" customHeight="1">
      <c r="K44" s="358"/>
      <c r="L44" s="372" t="s">
        <v>483</v>
      </c>
      <c r="M44" s="364">
        <f>'07'!E11</f>
        <v>13277593</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525</v>
      </c>
      <c r="M47" s="364">
        <f>'07'!F11</f>
        <v>7790301</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526</v>
      </c>
      <c r="M50" s="364">
        <f>'07'!H11</f>
        <v>101199912</v>
      </c>
      <c r="N50" s="364"/>
      <c r="O50" s="364"/>
      <c r="P50" s="355"/>
      <c r="R50" s="355"/>
    </row>
    <row r="51" spans="11:18" ht="24.75" customHeight="1">
      <c r="K51" s="358"/>
      <c r="L51" s="373" t="s">
        <v>527</v>
      </c>
      <c r="M51" s="369">
        <f>'[7]M7 Thop tien CHV'!$C$12</f>
        <v>54227822.442</v>
      </c>
      <c r="N51" s="364"/>
      <c r="O51" s="364"/>
      <c r="P51" s="355"/>
      <c r="R51" s="355"/>
    </row>
    <row r="52" spans="11:18" ht="24.75" customHeight="1">
      <c r="K52" s="358"/>
      <c r="L52" s="386" t="s">
        <v>490</v>
      </c>
      <c r="M52" s="378">
        <f>M50-M51</f>
        <v>46972089.558</v>
      </c>
      <c r="N52" s="364"/>
      <c r="O52" s="364"/>
      <c r="P52" s="355"/>
      <c r="R52" s="355"/>
    </row>
    <row r="53" spans="11:18" ht="24.75" customHeight="1">
      <c r="K53" s="358"/>
      <c r="L53" s="386" t="s">
        <v>491</v>
      </c>
      <c r="M53" s="377">
        <f>(M52/M51)</f>
        <v>0.8661990735150678</v>
      </c>
      <c r="N53" s="364"/>
      <c r="O53" s="364"/>
      <c r="P53" s="355"/>
      <c r="R53" s="355"/>
    </row>
    <row r="54" spans="11:18" ht="24.75" customHeight="1">
      <c r="K54" s="358"/>
      <c r="L54" s="372" t="s">
        <v>528</v>
      </c>
      <c r="M54" s="364">
        <f>'07'!I11</f>
        <v>41568874</v>
      </c>
      <c r="N54" s="364" t="s">
        <v>492</v>
      </c>
      <c r="O54" s="370">
        <f>'07'!I11/'07'!H11</f>
        <v>0.4107599816885216</v>
      </c>
      <c r="P54" s="355"/>
      <c r="R54" s="355"/>
    </row>
    <row r="55" spans="11:18" ht="24.75" customHeight="1">
      <c r="K55" s="358"/>
      <c r="L55" s="372" t="s">
        <v>529</v>
      </c>
      <c r="M55" s="364">
        <f>'07'!R11</f>
        <v>59631038</v>
      </c>
      <c r="N55" s="364" t="s">
        <v>492</v>
      </c>
      <c r="O55" s="370">
        <f>'07'!R11/'07'!H11</f>
        <v>0.5892400183114783</v>
      </c>
      <c r="P55" s="355"/>
      <c r="R55" s="355"/>
    </row>
    <row r="56" spans="11:18" ht="24.75" customHeight="1">
      <c r="K56" s="358"/>
      <c r="L56" s="372" t="s">
        <v>530</v>
      </c>
      <c r="M56" s="364">
        <f>'07'!J11+'07'!K11+'07'!L11</f>
        <v>5395589</v>
      </c>
      <c r="N56" s="364" t="s">
        <v>492</v>
      </c>
      <c r="O56" s="370">
        <f>M56/'07'!H11</f>
        <v>0.05331614319980832</v>
      </c>
      <c r="P56" s="355"/>
      <c r="R56" s="355"/>
    </row>
    <row r="57" spans="11:18" ht="24.75" customHeight="1">
      <c r="K57" s="358"/>
      <c r="L57" s="373" t="s">
        <v>531</v>
      </c>
      <c r="M57" s="369">
        <f>'[7]M7 Thop tien CHV'!$H$12+'[7]M7 Thop tien CHV'!$I$12+'[7]M7 Thop tien CHV'!$K$12</f>
        <v>2217726.5</v>
      </c>
      <c r="N57" s="369" t="s">
        <v>492</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532</v>
      </c>
      <c r="M60" s="377">
        <f>O56-O57</f>
        <v>0.012419673451792984</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533</v>
      </c>
      <c r="M63" s="364">
        <f>'07'!J11</f>
        <v>4208144</v>
      </c>
      <c r="N63" s="364" t="s">
        <v>493</v>
      </c>
      <c r="O63" s="370">
        <f>'07'!J11/'07'!I11</f>
        <v>0.10123305240358448</v>
      </c>
      <c r="P63" s="355"/>
      <c r="R63" s="355"/>
    </row>
    <row r="64" spans="11:16" ht="24.75" customHeight="1">
      <c r="K64" s="358"/>
      <c r="L64" s="373" t="s">
        <v>534</v>
      </c>
      <c r="M64" s="369">
        <f>'[7]M7 Thop tien CHV'!$H$12</f>
        <v>2212774.5</v>
      </c>
      <c r="N64" s="369" t="s">
        <v>494</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535</v>
      </c>
      <c r="M68" s="377">
        <f>O63-O64</f>
        <v>0.08698955108377082</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536</v>
      </c>
      <c r="M72" s="364">
        <f>'07'!S11</f>
        <v>95804323</v>
      </c>
      <c r="N72" s="364"/>
      <c r="O72" s="364"/>
      <c r="P72" s="355"/>
    </row>
    <row r="73" spans="11:16" ht="24.75" customHeight="1">
      <c r="K73" s="358"/>
      <c r="L73" s="373" t="s">
        <v>537</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495</v>
      </c>
      <c r="M76" s="378">
        <f>M72-M73</f>
        <v>47677512.638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496</v>
      </c>
      <c r="M79" s="377">
        <f>M76/M73</f>
        <v>0.9906642945871442</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4">
      <selection activeCell="B7" sqref="B7"/>
    </sheetView>
  </sheetViews>
  <sheetFormatPr defaultColWidth="9.00390625" defaultRowHeight="15.75"/>
  <cols>
    <col min="1" max="1" width="23.50390625" style="0" customWidth="1"/>
    <col min="2" max="2" width="66.125" style="0" customWidth="1"/>
  </cols>
  <sheetData>
    <row r="2" spans="1:2" ht="62.25" customHeight="1">
      <c r="A2" s="1254" t="s">
        <v>566</v>
      </c>
      <c r="B2" s="1254"/>
    </row>
    <row r="3" spans="1:2" ht="22.5" customHeight="1">
      <c r="A3" s="510" t="s">
        <v>541</v>
      </c>
      <c r="B3" s="511" t="s">
        <v>723</v>
      </c>
    </row>
    <row r="4" spans="1:2" ht="22.5" customHeight="1">
      <c r="A4" s="510" t="s">
        <v>539</v>
      </c>
      <c r="B4" s="511" t="s">
        <v>685</v>
      </c>
    </row>
    <row r="5" spans="1:2" ht="22.5" customHeight="1">
      <c r="A5" s="510" t="s">
        <v>542</v>
      </c>
      <c r="B5" s="673" t="s">
        <v>688</v>
      </c>
    </row>
    <row r="6" spans="1:2" ht="22.5" customHeight="1">
      <c r="A6" s="510" t="s">
        <v>543</v>
      </c>
      <c r="B6" s="556" t="s">
        <v>681</v>
      </c>
    </row>
    <row r="7" spans="1:2" ht="22.5" customHeight="1">
      <c r="A7" s="510" t="s">
        <v>544</v>
      </c>
      <c r="B7" s="556" t="s">
        <v>504</v>
      </c>
    </row>
    <row r="8" spans="1:2" ht="15.75">
      <c r="A8" s="512" t="s">
        <v>545</v>
      </c>
      <c r="B8" s="674" t="s">
        <v>724</v>
      </c>
    </row>
    <row r="10" spans="1:2" ht="62.25" customHeight="1">
      <c r="A10" s="1255" t="s">
        <v>625</v>
      </c>
      <c r="B10" s="1255"/>
    </row>
    <row r="11" spans="1:2" ht="15.75">
      <c r="A11" s="1256" t="s">
        <v>565</v>
      </c>
      <c r="B11" s="1256"/>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S218"/>
  <sheetViews>
    <sheetView showZeros="0" zoomScale="85" zoomScaleNormal="85" zoomScaleSheetLayoutView="85" zoomScalePageLayoutView="0" workbookViewId="0" topLeftCell="A11">
      <selection activeCell="D14" sqref="D14:G14"/>
    </sheetView>
  </sheetViews>
  <sheetFormatPr defaultColWidth="9.00390625" defaultRowHeight="15.75"/>
  <cols>
    <col min="1" max="1" width="4.125" style="434" customWidth="1"/>
    <col min="2" max="2" width="23.25390625" style="388" customWidth="1"/>
    <col min="3" max="3" width="11.75390625" style="388" customWidth="1"/>
    <col min="4" max="4" width="9.625" style="388" customWidth="1"/>
    <col min="5" max="5" width="9.50390625" style="388" customWidth="1"/>
    <col min="6" max="6" width="10.125" style="388" customWidth="1"/>
    <col min="7" max="7" width="9.25390625" style="388" customWidth="1"/>
    <col min="8" max="8" width="9.50390625" style="388" bestFit="1" customWidth="1"/>
    <col min="9" max="9" width="9.875" style="388" customWidth="1"/>
    <col min="10" max="10" width="8.875" style="388" customWidth="1"/>
    <col min="11" max="11" width="8.625" style="388" customWidth="1"/>
    <col min="12" max="12" width="6.00390625" style="388" customWidth="1"/>
    <col min="13" max="13" width="6.875" style="388" customWidth="1"/>
    <col min="14" max="14" width="5.875" style="388" customWidth="1"/>
    <col min="15" max="16384" width="9.00390625" style="388" customWidth="1"/>
  </cols>
  <sheetData>
    <row r="1" spans="1:19" ht="19.5" customHeight="1">
      <c r="A1" s="1257" t="s">
        <v>28</v>
      </c>
      <c r="B1" s="1257"/>
      <c r="C1" s="414"/>
      <c r="D1" s="1258" t="s">
        <v>81</v>
      </c>
      <c r="E1" s="1258"/>
      <c r="F1" s="1258"/>
      <c r="G1" s="1258"/>
      <c r="H1" s="1258"/>
      <c r="I1" s="1258"/>
      <c r="J1" s="1258"/>
      <c r="K1" s="1258"/>
      <c r="L1" s="1259" t="s">
        <v>540</v>
      </c>
      <c r="M1" s="1259"/>
      <c r="N1" s="1259"/>
      <c r="S1" s="633"/>
    </row>
    <row r="2" spans="1:16" ht="16.5" customHeight="1">
      <c r="A2" s="416" t="s">
        <v>342</v>
      </c>
      <c r="B2" s="416"/>
      <c r="C2" s="416"/>
      <c r="D2" s="1258" t="s">
        <v>117</v>
      </c>
      <c r="E2" s="1258"/>
      <c r="F2" s="1258"/>
      <c r="G2" s="1258"/>
      <c r="H2" s="1258"/>
      <c r="I2" s="1258"/>
      <c r="J2" s="1258"/>
      <c r="K2" s="1258"/>
      <c r="L2" s="1260" t="str">
        <f>'Thong tin'!B4</f>
        <v>Cục THADS tỉnh Tuyên Quang</v>
      </c>
      <c r="M2" s="1260"/>
      <c r="N2" s="1260"/>
      <c r="P2" s="389"/>
    </row>
    <row r="3" spans="1:16" ht="16.5" customHeight="1">
      <c r="A3" s="416" t="s">
        <v>343</v>
      </c>
      <c r="B3" s="416"/>
      <c r="C3" s="413"/>
      <c r="D3" s="1281" t="str">
        <f>'Thong tin'!B3</f>
        <v>03 tháng / năm 2018</v>
      </c>
      <c r="E3" s="1281"/>
      <c r="F3" s="1281"/>
      <c r="G3" s="1281"/>
      <c r="H3" s="1281"/>
      <c r="I3" s="1281"/>
      <c r="J3" s="1281"/>
      <c r="K3" s="1281"/>
      <c r="L3" s="1259" t="s">
        <v>507</v>
      </c>
      <c r="M3" s="1259"/>
      <c r="N3" s="1259"/>
      <c r="P3" s="390"/>
    </row>
    <row r="4" spans="1:16" ht="16.5" customHeight="1">
      <c r="A4" s="417" t="s">
        <v>118</v>
      </c>
      <c r="B4" s="418"/>
      <c r="C4" s="419"/>
      <c r="D4" s="420"/>
      <c r="E4" s="420"/>
      <c r="F4" s="419"/>
      <c r="G4" s="421"/>
      <c r="H4" s="421"/>
      <c r="I4" s="421"/>
      <c r="J4" s="419"/>
      <c r="K4" s="420"/>
      <c r="L4" s="1260" t="s">
        <v>410</v>
      </c>
      <c r="M4" s="1260"/>
      <c r="N4" s="1260"/>
      <c r="P4" s="390"/>
    </row>
    <row r="5" spans="1:16" ht="16.5" customHeight="1">
      <c r="A5" s="422"/>
      <c r="B5" s="419"/>
      <c r="C5" s="419"/>
      <c r="D5" s="419"/>
      <c r="E5" s="419"/>
      <c r="F5" s="423"/>
      <c r="G5" s="424"/>
      <c r="H5" s="424"/>
      <c r="I5" s="424"/>
      <c r="J5" s="423"/>
      <c r="K5" s="425"/>
      <c r="L5" s="1280" t="s">
        <v>8</v>
      </c>
      <c r="M5" s="1280"/>
      <c r="N5" s="1280"/>
      <c r="P5" s="390"/>
    </row>
    <row r="6" spans="1:16" ht="18.75" customHeight="1">
      <c r="A6" s="1272" t="s">
        <v>721</v>
      </c>
      <c r="B6" s="1273"/>
      <c r="C6" s="1278" t="s">
        <v>37</v>
      </c>
      <c r="D6" s="1278" t="s">
        <v>335</v>
      </c>
      <c r="E6" s="1282"/>
      <c r="F6" s="1282"/>
      <c r="G6" s="1282"/>
      <c r="H6" s="1282"/>
      <c r="I6" s="1282"/>
      <c r="J6" s="1282"/>
      <c r="K6" s="1282"/>
      <c r="L6" s="1282"/>
      <c r="M6" s="1282"/>
      <c r="N6" s="1283"/>
      <c r="P6" s="390"/>
    </row>
    <row r="7" spans="1:16" ht="20.25" customHeight="1">
      <c r="A7" s="1274"/>
      <c r="B7" s="1275"/>
      <c r="C7" s="1279"/>
      <c r="D7" s="1284" t="s">
        <v>119</v>
      </c>
      <c r="E7" s="1266" t="s">
        <v>120</v>
      </c>
      <c r="F7" s="1267"/>
      <c r="G7" s="1268"/>
      <c r="H7" s="1262" t="s">
        <v>121</v>
      </c>
      <c r="I7" s="1262" t="s">
        <v>122</v>
      </c>
      <c r="J7" s="1262" t="s">
        <v>123</v>
      </c>
      <c r="K7" s="1262" t="s">
        <v>124</v>
      </c>
      <c r="L7" s="1262" t="s">
        <v>125</v>
      </c>
      <c r="M7" s="1262" t="s">
        <v>126</v>
      </c>
      <c r="N7" s="1262" t="s">
        <v>127</v>
      </c>
      <c r="O7" s="390"/>
      <c r="P7" s="390"/>
    </row>
    <row r="8" spans="1:16" ht="21" customHeight="1">
      <c r="A8" s="1274"/>
      <c r="B8" s="1275"/>
      <c r="C8" s="1279"/>
      <c r="D8" s="1284"/>
      <c r="E8" s="1271" t="s">
        <v>36</v>
      </c>
      <c r="F8" s="1264" t="s">
        <v>7</v>
      </c>
      <c r="G8" s="1265"/>
      <c r="H8" s="1262"/>
      <c r="I8" s="1262"/>
      <c r="J8" s="1262"/>
      <c r="K8" s="1262"/>
      <c r="L8" s="1262"/>
      <c r="M8" s="1262"/>
      <c r="N8" s="1262"/>
      <c r="O8" s="1261"/>
      <c r="P8" s="1261"/>
    </row>
    <row r="9" spans="1:16" ht="24.75" customHeight="1">
      <c r="A9" s="1276"/>
      <c r="B9" s="1277"/>
      <c r="C9" s="1279"/>
      <c r="D9" s="1285"/>
      <c r="E9" s="1263"/>
      <c r="F9" s="557" t="s">
        <v>199</v>
      </c>
      <c r="G9" s="558" t="s">
        <v>200</v>
      </c>
      <c r="H9" s="1263"/>
      <c r="I9" s="1263"/>
      <c r="J9" s="1263"/>
      <c r="K9" s="1263"/>
      <c r="L9" s="1263"/>
      <c r="M9" s="1263"/>
      <c r="N9" s="1263"/>
      <c r="O9" s="391"/>
      <c r="P9" s="391"/>
    </row>
    <row r="10" spans="1:16" s="393" customFormat="1" ht="18.75" customHeight="1">
      <c r="A10" s="1269" t="s">
        <v>39</v>
      </c>
      <c r="B10" s="1270"/>
      <c r="C10" s="503">
        <v>1</v>
      </c>
      <c r="D10" s="503">
        <v>2</v>
      </c>
      <c r="E10" s="503">
        <v>3</v>
      </c>
      <c r="F10" s="503">
        <v>4</v>
      </c>
      <c r="G10" s="503">
        <v>5</v>
      </c>
      <c r="H10" s="503">
        <v>6</v>
      </c>
      <c r="I10" s="503">
        <v>7</v>
      </c>
      <c r="J10" s="503">
        <v>8</v>
      </c>
      <c r="K10" s="503">
        <v>9</v>
      </c>
      <c r="L10" s="503">
        <v>10</v>
      </c>
      <c r="M10" s="503">
        <v>11</v>
      </c>
      <c r="N10" s="503">
        <v>12</v>
      </c>
      <c r="O10" s="392"/>
      <c r="P10" s="392"/>
    </row>
    <row r="11" spans="1:17" s="920" customFormat="1" ht="22.5" customHeight="1">
      <c r="A11" s="917" t="s">
        <v>0</v>
      </c>
      <c r="B11" s="918" t="s">
        <v>130</v>
      </c>
      <c r="C11" s="646">
        <f aca="true" t="shared" si="0" ref="C11:C16">SUM(D11,E11,H11:N11)</f>
        <v>2142</v>
      </c>
      <c r="D11" s="786">
        <f aca="true" t="shared" si="1" ref="D11:N11">SUM(D12:D13)</f>
        <v>352</v>
      </c>
      <c r="E11" s="786">
        <f t="shared" si="1"/>
        <v>1102</v>
      </c>
      <c r="F11" s="786">
        <f t="shared" si="1"/>
        <v>166</v>
      </c>
      <c r="G11" s="786">
        <f t="shared" si="1"/>
        <v>936</v>
      </c>
      <c r="H11" s="786">
        <f t="shared" si="1"/>
        <v>4</v>
      </c>
      <c r="I11" s="786">
        <f t="shared" si="1"/>
        <v>564</v>
      </c>
      <c r="J11" s="786">
        <f t="shared" si="1"/>
        <v>11</v>
      </c>
      <c r="K11" s="786">
        <f t="shared" si="1"/>
        <v>2</v>
      </c>
      <c r="L11" s="786">
        <f t="shared" si="1"/>
        <v>0</v>
      </c>
      <c r="M11" s="786">
        <f t="shared" si="1"/>
        <v>0</v>
      </c>
      <c r="N11" s="786">
        <f t="shared" si="1"/>
        <v>107</v>
      </c>
      <c r="O11" s="951"/>
      <c r="P11" s="951"/>
      <c r="Q11" s="427"/>
    </row>
    <row r="12" spans="1:16" s="920" customFormat="1" ht="22.5" customHeight="1">
      <c r="A12" s="921">
        <v>1</v>
      </c>
      <c r="B12" s="922" t="s">
        <v>131</v>
      </c>
      <c r="C12" s="787">
        <f t="shared" si="0"/>
        <v>965</v>
      </c>
      <c r="D12" s="788">
        <f>D41+D64+D87+D110+D133+D156+D180+D204</f>
        <v>183</v>
      </c>
      <c r="E12" s="642">
        <f>SUM(F12:G12)</f>
        <v>741</v>
      </c>
      <c r="F12" s="788">
        <f>F41+F64+F87+F110+F133+F156+F180+F204</f>
        <v>105</v>
      </c>
      <c r="G12" s="788">
        <f aca="true" t="shared" si="2" ref="G12:N12">G41+G64+G87+G110+G133+G156+G180+G204</f>
        <v>636</v>
      </c>
      <c r="H12" s="788">
        <f t="shared" si="2"/>
        <v>0</v>
      </c>
      <c r="I12" s="788">
        <f t="shared" si="2"/>
        <v>33</v>
      </c>
      <c r="J12" s="788">
        <f t="shared" si="2"/>
        <v>4</v>
      </c>
      <c r="K12" s="788">
        <f t="shared" si="2"/>
        <v>2</v>
      </c>
      <c r="L12" s="788">
        <f t="shared" si="2"/>
        <v>0</v>
      </c>
      <c r="M12" s="788">
        <f t="shared" si="2"/>
        <v>0</v>
      </c>
      <c r="N12" s="788">
        <f t="shared" si="2"/>
        <v>2</v>
      </c>
      <c r="O12" s="951"/>
      <c r="P12" s="951"/>
    </row>
    <row r="13" spans="1:16" s="920" customFormat="1" ht="22.5" customHeight="1">
      <c r="A13" s="921">
        <v>2</v>
      </c>
      <c r="B13" s="922" t="s">
        <v>132</v>
      </c>
      <c r="C13" s="787">
        <f t="shared" si="0"/>
        <v>1177</v>
      </c>
      <c r="D13" s="788">
        <f>D42+D65+D88+D111+D134+D157+D181+D205</f>
        <v>169</v>
      </c>
      <c r="E13" s="642">
        <f>SUM(F13:G13)</f>
        <v>361</v>
      </c>
      <c r="F13" s="788">
        <f aca="true" t="shared" si="3" ref="F13:N14">F42+F65+F88+F111+F134+F157+F181+F205</f>
        <v>61</v>
      </c>
      <c r="G13" s="788">
        <f t="shared" si="3"/>
        <v>300</v>
      </c>
      <c r="H13" s="788">
        <f t="shared" si="3"/>
        <v>4</v>
      </c>
      <c r="I13" s="788">
        <f t="shared" si="3"/>
        <v>531</v>
      </c>
      <c r="J13" s="788">
        <f t="shared" si="3"/>
        <v>7</v>
      </c>
      <c r="K13" s="788">
        <f t="shared" si="3"/>
        <v>0</v>
      </c>
      <c r="L13" s="788">
        <f t="shared" si="3"/>
        <v>0</v>
      </c>
      <c r="M13" s="788">
        <f t="shared" si="3"/>
        <v>0</v>
      </c>
      <c r="N13" s="788">
        <f t="shared" si="3"/>
        <v>105</v>
      </c>
      <c r="O13" s="951"/>
      <c r="P13" s="951"/>
    </row>
    <row r="14" spans="1:16" s="920" customFormat="1" ht="22.5" customHeight="1">
      <c r="A14" s="20" t="s">
        <v>1</v>
      </c>
      <c r="B14" s="923" t="s">
        <v>133</v>
      </c>
      <c r="C14" s="787">
        <f t="shared" si="0"/>
        <v>7</v>
      </c>
      <c r="D14" s="952">
        <f>D43+D66+D89+D112+D135+D158+D182+D206</f>
        <v>2</v>
      </c>
      <c r="E14" s="953">
        <f>SUM(F14:G14)</f>
        <v>5</v>
      </c>
      <c r="F14" s="952">
        <f t="shared" si="3"/>
        <v>1</v>
      </c>
      <c r="G14" s="952">
        <f t="shared" si="3"/>
        <v>4</v>
      </c>
      <c r="H14" s="789">
        <f t="shared" si="3"/>
        <v>0</v>
      </c>
      <c r="I14" s="789">
        <f t="shared" si="3"/>
        <v>0</v>
      </c>
      <c r="J14" s="789">
        <f t="shared" si="3"/>
        <v>0</v>
      </c>
      <c r="K14" s="789">
        <f t="shared" si="3"/>
        <v>0</v>
      </c>
      <c r="L14" s="789">
        <f t="shared" si="3"/>
        <v>0</v>
      </c>
      <c r="M14" s="789">
        <f t="shared" si="3"/>
        <v>0</v>
      </c>
      <c r="N14" s="789">
        <f t="shared" si="3"/>
        <v>0</v>
      </c>
      <c r="O14" s="951"/>
      <c r="P14" s="951"/>
    </row>
    <row r="15" spans="1:16" s="920" customFormat="1" ht="22.5" customHeight="1">
      <c r="A15" s="20" t="s">
        <v>9</v>
      </c>
      <c r="B15" s="923" t="s">
        <v>134</v>
      </c>
      <c r="C15" s="787">
        <f t="shared" si="0"/>
        <v>0</v>
      </c>
      <c r="D15" s="789"/>
      <c r="E15" s="632">
        <f>SUM(F15:G15)</f>
        <v>0</v>
      </c>
      <c r="F15" s="654"/>
      <c r="G15" s="654"/>
      <c r="H15" s="654"/>
      <c r="I15" s="654"/>
      <c r="J15" s="654"/>
      <c r="K15" s="654"/>
      <c r="L15" s="654"/>
      <c r="M15" s="654"/>
      <c r="N15" s="654"/>
      <c r="O15" s="951"/>
      <c r="P15" s="951"/>
    </row>
    <row r="16" spans="1:15" s="920" customFormat="1" ht="22.5" customHeight="1">
      <c r="A16" s="20" t="s">
        <v>135</v>
      </c>
      <c r="B16" s="923" t="s">
        <v>136</v>
      </c>
      <c r="C16" s="646">
        <f t="shared" si="0"/>
        <v>2135</v>
      </c>
      <c r="D16" s="786">
        <f>D11-SUM(D14,D15)</f>
        <v>350</v>
      </c>
      <c r="E16" s="786">
        <f>E11-SUM(E14,E15)</f>
        <v>1097</v>
      </c>
      <c r="F16" s="786">
        <f aca="true" t="shared" si="4" ref="F16:M16">F11-SUM(F14,F15)</f>
        <v>165</v>
      </c>
      <c r="G16" s="786">
        <f t="shared" si="4"/>
        <v>932</v>
      </c>
      <c r="H16" s="786">
        <f t="shared" si="4"/>
        <v>4</v>
      </c>
      <c r="I16" s="786">
        <f t="shared" si="4"/>
        <v>564</v>
      </c>
      <c r="J16" s="786">
        <f t="shared" si="4"/>
        <v>11</v>
      </c>
      <c r="K16" s="786">
        <f t="shared" si="4"/>
        <v>2</v>
      </c>
      <c r="L16" s="786">
        <f t="shared" si="4"/>
        <v>0</v>
      </c>
      <c r="M16" s="786">
        <f t="shared" si="4"/>
        <v>0</v>
      </c>
      <c r="N16" s="786">
        <f>N11-SUM(N14,N15)</f>
        <v>107</v>
      </c>
      <c r="O16" s="951"/>
    </row>
    <row r="17" spans="1:15" s="920" customFormat="1" ht="22.5" customHeight="1">
      <c r="A17" s="20" t="s">
        <v>51</v>
      </c>
      <c r="B17" s="924" t="s">
        <v>137</v>
      </c>
      <c r="C17" s="646">
        <f>C18+C19+C20+C21+C22+C23+C24</f>
        <v>1316</v>
      </c>
      <c r="D17" s="646">
        <f>D18+D19+D20+D21+D22+D23+D24</f>
        <v>217</v>
      </c>
      <c r="E17" s="646">
        <f>F17+G17</f>
        <v>434</v>
      </c>
      <c r="F17" s="646">
        <f aca="true" t="shared" si="5" ref="F17:M17">F18+F19+F20+F21+F22+F23+F24</f>
        <v>65</v>
      </c>
      <c r="G17" s="646">
        <f t="shared" si="5"/>
        <v>369</v>
      </c>
      <c r="H17" s="646">
        <f t="shared" si="5"/>
        <v>4</v>
      </c>
      <c r="I17" s="646">
        <f t="shared" si="5"/>
        <v>547</v>
      </c>
      <c r="J17" s="646">
        <f t="shared" si="5"/>
        <v>7</v>
      </c>
      <c r="K17" s="646">
        <f t="shared" si="5"/>
        <v>0</v>
      </c>
      <c r="L17" s="646">
        <f t="shared" si="5"/>
        <v>0</v>
      </c>
      <c r="M17" s="646">
        <f t="shared" si="5"/>
        <v>0</v>
      </c>
      <c r="N17" s="646">
        <f>N18+N19+N20+N21+N22+N23+N24</f>
        <v>107</v>
      </c>
      <c r="O17" s="951"/>
    </row>
    <row r="18" spans="1:15" s="920" customFormat="1" ht="22.5" customHeight="1">
      <c r="A18" s="921" t="s">
        <v>53</v>
      </c>
      <c r="B18" s="922" t="s">
        <v>138</v>
      </c>
      <c r="C18" s="635">
        <f aca="true" t="shared" si="6" ref="C18:C24">SUM(D18,E18,H18:N18)</f>
        <v>1094</v>
      </c>
      <c r="D18" s="788">
        <f>D47+D70+D93+D116+D139+D162+D186+D210</f>
        <v>138</v>
      </c>
      <c r="E18" s="642">
        <f aca="true" t="shared" si="7" ref="E18:E24">SUM(F18:G18)</f>
        <v>322</v>
      </c>
      <c r="F18" s="788">
        <f>F47+F70+F93+F116+F139+F162+F186+F210</f>
        <v>55</v>
      </c>
      <c r="G18" s="788">
        <f aca="true" t="shared" si="8" ref="G18:N18">G47+G70+G93+G116+G139+G162+G186+G210</f>
        <v>267</v>
      </c>
      <c r="H18" s="788">
        <f t="shared" si="8"/>
        <v>4</v>
      </c>
      <c r="I18" s="788">
        <f t="shared" si="8"/>
        <v>523</v>
      </c>
      <c r="J18" s="788">
        <f t="shared" si="8"/>
        <v>6</v>
      </c>
      <c r="K18" s="788">
        <f t="shared" si="8"/>
        <v>0</v>
      </c>
      <c r="L18" s="788">
        <f t="shared" si="8"/>
        <v>0</v>
      </c>
      <c r="M18" s="788">
        <f t="shared" si="8"/>
        <v>0</v>
      </c>
      <c r="N18" s="788">
        <f t="shared" si="8"/>
        <v>101</v>
      </c>
      <c r="O18" s="951"/>
    </row>
    <row r="19" spans="1:15" s="920" customFormat="1" ht="20.25" customHeight="1">
      <c r="A19" s="921" t="s">
        <v>54</v>
      </c>
      <c r="B19" s="922" t="s">
        <v>139</v>
      </c>
      <c r="C19" s="635">
        <f t="shared" si="6"/>
        <v>11</v>
      </c>
      <c r="D19" s="788">
        <f aca="true" t="shared" si="9" ref="D19:D24">D48+D71+D94+D117+D140+D163+D187+D211</f>
        <v>1</v>
      </c>
      <c r="E19" s="642">
        <f t="shared" si="7"/>
        <v>9</v>
      </c>
      <c r="F19" s="788">
        <f aca="true" t="shared" si="10" ref="F19:N24">F48+F71+F94+F117+F140+F163+F187+F211</f>
        <v>0</v>
      </c>
      <c r="G19" s="788">
        <f t="shared" si="10"/>
        <v>9</v>
      </c>
      <c r="H19" s="788">
        <f t="shared" si="10"/>
        <v>0</v>
      </c>
      <c r="I19" s="788">
        <f t="shared" si="10"/>
        <v>1</v>
      </c>
      <c r="J19" s="788">
        <f t="shared" si="10"/>
        <v>0</v>
      </c>
      <c r="K19" s="788">
        <f t="shared" si="10"/>
        <v>0</v>
      </c>
      <c r="L19" s="788">
        <f t="shared" si="10"/>
        <v>0</v>
      </c>
      <c r="M19" s="788">
        <f t="shared" si="10"/>
        <v>0</v>
      </c>
      <c r="N19" s="788">
        <f t="shared" si="10"/>
        <v>0</v>
      </c>
      <c r="O19" s="951"/>
    </row>
    <row r="20" spans="1:15" s="920" customFormat="1" ht="21" customHeight="1">
      <c r="A20" s="921" t="s">
        <v>140</v>
      </c>
      <c r="B20" s="922" t="s">
        <v>141</v>
      </c>
      <c r="C20" s="635">
        <f t="shared" si="6"/>
        <v>194</v>
      </c>
      <c r="D20" s="788">
        <f t="shared" si="9"/>
        <v>65</v>
      </c>
      <c r="E20" s="642">
        <f t="shared" si="7"/>
        <v>99</v>
      </c>
      <c r="F20" s="788">
        <f t="shared" si="10"/>
        <v>10</v>
      </c>
      <c r="G20" s="788">
        <f t="shared" si="10"/>
        <v>89</v>
      </c>
      <c r="H20" s="788">
        <f t="shared" si="10"/>
        <v>0</v>
      </c>
      <c r="I20" s="788">
        <f t="shared" si="10"/>
        <v>23</v>
      </c>
      <c r="J20" s="788">
        <f t="shared" si="10"/>
        <v>1</v>
      </c>
      <c r="K20" s="788">
        <f t="shared" si="10"/>
        <v>0</v>
      </c>
      <c r="L20" s="788">
        <f t="shared" si="10"/>
        <v>0</v>
      </c>
      <c r="M20" s="788">
        <f t="shared" si="10"/>
        <v>0</v>
      </c>
      <c r="N20" s="788">
        <f t="shared" si="10"/>
        <v>6</v>
      </c>
      <c r="O20" s="951"/>
    </row>
    <row r="21" spans="1:15" s="920" customFormat="1" ht="21" customHeight="1">
      <c r="A21" s="921" t="s">
        <v>142</v>
      </c>
      <c r="B21" s="922" t="s">
        <v>143</v>
      </c>
      <c r="C21" s="635">
        <f t="shared" si="6"/>
        <v>12</v>
      </c>
      <c r="D21" s="788">
        <f t="shared" si="9"/>
        <v>12</v>
      </c>
      <c r="E21" s="632">
        <f t="shared" si="7"/>
        <v>0</v>
      </c>
      <c r="F21" s="788">
        <f t="shared" si="10"/>
        <v>0</v>
      </c>
      <c r="G21" s="788">
        <f t="shared" si="10"/>
        <v>0</v>
      </c>
      <c r="H21" s="788">
        <f t="shared" si="10"/>
        <v>0</v>
      </c>
      <c r="I21" s="788">
        <f t="shared" si="10"/>
        <v>0</v>
      </c>
      <c r="J21" s="788">
        <f t="shared" si="10"/>
        <v>0</v>
      </c>
      <c r="K21" s="788">
        <f t="shared" si="10"/>
        <v>0</v>
      </c>
      <c r="L21" s="788">
        <f t="shared" si="10"/>
        <v>0</v>
      </c>
      <c r="M21" s="788">
        <f t="shared" si="10"/>
        <v>0</v>
      </c>
      <c r="N21" s="788">
        <f t="shared" si="10"/>
        <v>0</v>
      </c>
      <c r="O21" s="951"/>
    </row>
    <row r="22" spans="1:15" s="920" customFormat="1" ht="21" customHeight="1">
      <c r="A22" s="921" t="s">
        <v>144</v>
      </c>
      <c r="B22" s="922" t="s">
        <v>145</v>
      </c>
      <c r="C22" s="635">
        <f t="shared" si="6"/>
        <v>0</v>
      </c>
      <c r="D22" s="788">
        <f t="shared" si="9"/>
        <v>0</v>
      </c>
      <c r="E22" s="632">
        <f t="shared" si="7"/>
        <v>0</v>
      </c>
      <c r="F22" s="788">
        <f t="shared" si="10"/>
        <v>0</v>
      </c>
      <c r="G22" s="788">
        <f t="shared" si="10"/>
        <v>0</v>
      </c>
      <c r="H22" s="788">
        <f t="shared" si="10"/>
        <v>0</v>
      </c>
      <c r="I22" s="788">
        <f t="shared" si="10"/>
        <v>0</v>
      </c>
      <c r="J22" s="788">
        <f t="shared" si="10"/>
        <v>0</v>
      </c>
      <c r="K22" s="788">
        <f t="shared" si="10"/>
        <v>0</v>
      </c>
      <c r="L22" s="788">
        <f t="shared" si="10"/>
        <v>0</v>
      </c>
      <c r="M22" s="788">
        <f t="shared" si="10"/>
        <v>0</v>
      </c>
      <c r="N22" s="788">
        <f t="shared" si="10"/>
        <v>0</v>
      </c>
      <c r="O22" s="951"/>
    </row>
    <row r="23" spans="1:15" s="920" customFormat="1" ht="34.5" customHeight="1">
      <c r="A23" s="921" t="s">
        <v>146</v>
      </c>
      <c r="B23" s="925" t="s">
        <v>147</v>
      </c>
      <c r="C23" s="635">
        <f t="shared" si="6"/>
        <v>0</v>
      </c>
      <c r="D23" s="788">
        <f t="shared" si="9"/>
        <v>0</v>
      </c>
      <c r="E23" s="632">
        <f t="shared" si="7"/>
        <v>0</v>
      </c>
      <c r="F23" s="788">
        <f t="shared" si="10"/>
        <v>0</v>
      </c>
      <c r="G23" s="788">
        <f t="shared" si="10"/>
        <v>0</v>
      </c>
      <c r="H23" s="788">
        <f t="shared" si="10"/>
        <v>0</v>
      </c>
      <c r="I23" s="788">
        <f t="shared" si="10"/>
        <v>0</v>
      </c>
      <c r="J23" s="788">
        <f t="shared" si="10"/>
        <v>0</v>
      </c>
      <c r="K23" s="788">
        <f t="shared" si="10"/>
        <v>0</v>
      </c>
      <c r="L23" s="788">
        <f t="shared" si="10"/>
        <v>0</v>
      </c>
      <c r="M23" s="788">
        <f t="shared" si="10"/>
        <v>0</v>
      </c>
      <c r="N23" s="788">
        <f t="shared" si="10"/>
        <v>0</v>
      </c>
      <c r="O23" s="951"/>
    </row>
    <row r="24" spans="1:15" s="920" customFormat="1" ht="21" customHeight="1">
      <c r="A24" s="921" t="s">
        <v>148</v>
      </c>
      <c r="B24" s="922" t="s">
        <v>149</v>
      </c>
      <c r="C24" s="635">
        <f t="shared" si="6"/>
        <v>5</v>
      </c>
      <c r="D24" s="788">
        <f t="shared" si="9"/>
        <v>1</v>
      </c>
      <c r="E24" s="632">
        <f t="shared" si="7"/>
        <v>4</v>
      </c>
      <c r="F24" s="788">
        <f t="shared" si="10"/>
        <v>0</v>
      </c>
      <c r="G24" s="788">
        <f t="shared" si="10"/>
        <v>4</v>
      </c>
      <c r="H24" s="788">
        <f t="shared" si="10"/>
        <v>0</v>
      </c>
      <c r="I24" s="788">
        <f t="shared" si="10"/>
        <v>0</v>
      </c>
      <c r="J24" s="788">
        <f t="shared" si="10"/>
        <v>0</v>
      </c>
      <c r="K24" s="788">
        <f t="shared" si="10"/>
        <v>0</v>
      </c>
      <c r="L24" s="788">
        <f t="shared" si="10"/>
        <v>0</v>
      </c>
      <c r="M24" s="788">
        <f t="shared" si="10"/>
        <v>0</v>
      </c>
      <c r="N24" s="788">
        <f t="shared" si="10"/>
        <v>0</v>
      </c>
      <c r="O24" s="951"/>
    </row>
    <row r="25" spans="1:15" s="920" customFormat="1" ht="26.25" customHeight="1">
      <c r="A25" s="20" t="s">
        <v>52</v>
      </c>
      <c r="B25" s="923" t="s">
        <v>150</v>
      </c>
      <c r="C25" s="646">
        <f>SUM(D25,E25,H25:N25)</f>
        <v>819</v>
      </c>
      <c r="D25" s="646">
        <f>D16-D17</f>
        <v>133</v>
      </c>
      <c r="E25" s="786">
        <f>SUM(F25:G25)</f>
        <v>663</v>
      </c>
      <c r="F25" s="646">
        <f aca="true" t="shared" si="11" ref="F25:N25">F16-F17</f>
        <v>100</v>
      </c>
      <c r="G25" s="646">
        <f t="shared" si="11"/>
        <v>563</v>
      </c>
      <c r="H25" s="646">
        <f t="shared" si="11"/>
        <v>0</v>
      </c>
      <c r="I25" s="646">
        <f t="shared" si="11"/>
        <v>17</v>
      </c>
      <c r="J25" s="646">
        <f t="shared" si="11"/>
        <v>4</v>
      </c>
      <c r="K25" s="646">
        <f t="shared" si="11"/>
        <v>2</v>
      </c>
      <c r="L25" s="646">
        <f t="shared" si="11"/>
        <v>0</v>
      </c>
      <c r="M25" s="646">
        <f t="shared" si="11"/>
        <v>0</v>
      </c>
      <c r="N25" s="646">
        <f t="shared" si="11"/>
        <v>0</v>
      </c>
      <c r="O25" s="951"/>
    </row>
    <row r="26" spans="1:15" s="467" customFormat="1" ht="30">
      <c r="A26" s="20" t="s">
        <v>538</v>
      </c>
      <c r="B26" s="950" t="s">
        <v>731</v>
      </c>
      <c r="C26" s="790">
        <f aca="true" t="shared" si="12" ref="C26:J26">(C18+C19)/C17</f>
        <v>0.8396656534954408</v>
      </c>
      <c r="D26" s="790">
        <f t="shared" si="12"/>
        <v>0.6405529953917051</v>
      </c>
      <c r="E26" s="790">
        <f t="shared" si="12"/>
        <v>0.7626728110599078</v>
      </c>
      <c r="F26" s="790">
        <f t="shared" si="12"/>
        <v>0.8461538461538461</v>
      </c>
      <c r="G26" s="790">
        <f t="shared" si="12"/>
        <v>0.7479674796747967</v>
      </c>
      <c r="H26" s="790">
        <f t="shared" si="12"/>
        <v>1</v>
      </c>
      <c r="I26" s="790">
        <f t="shared" si="12"/>
        <v>0.9579524680073126</v>
      </c>
      <c r="J26" s="790">
        <f t="shared" si="12"/>
        <v>0.8571428571428571</v>
      </c>
      <c r="K26" s="790" t="e">
        <f>(K18+J19)/K17</f>
        <v>#DIV/0!</v>
      </c>
      <c r="L26" s="790" t="e">
        <f>(L18+K19)/L17</f>
        <v>#DIV/0!</v>
      </c>
      <c r="M26" s="790" t="e">
        <f>(M18+L19)/M17</f>
        <v>#DIV/0!</v>
      </c>
      <c r="N26" s="790">
        <f>(N18+N19)/N17</f>
        <v>0.9439252336448598</v>
      </c>
      <c r="O26" s="951"/>
    </row>
    <row r="27" spans="1:15" s="413" customFormat="1" ht="37.5" customHeight="1">
      <c r="A27" s="743"/>
      <c r="B27" s="744"/>
      <c r="C27" s="745"/>
      <c r="D27" s="745"/>
      <c r="E27" s="745"/>
      <c r="F27" s="745"/>
      <c r="G27" s="745"/>
      <c r="H27" s="745"/>
      <c r="I27" s="745"/>
      <c r="J27" s="745"/>
      <c r="K27" s="745"/>
      <c r="L27" s="745"/>
      <c r="M27" s="745"/>
      <c r="N27" s="745"/>
      <c r="O27" s="390"/>
    </row>
    <row r="28" spans="1:15" s="413" customFormat="1" ht="14.25" customHeight="1">
      <c r="A28" s="743"/>
      <c r="B28" s="744"/>
      <c r="C28" s="745"/>
      <c r="D28" s="745"/>
      <c r="E28" s="745"/>
      <c r="F28" s="745"/>
      <c r="G28" s="745"/>
      <c r="H28" s="745"/>
      <c r="I28" s="745"/>
      <c r="J28" s="745"/>
      <c r="K28" s="745"/>
      <c r="L28" s="745"/>
      <c r="M28" s="745"/>
      <c r="N28" s="745"/>
      <c r="O28" s="390"/>
    </row>
    <row r="29" spans="1:15" s="413" customFormat="1" ht="22.5" customHeight="1" hidden="1">
      <c r="A29" s="743"/>
      <c r="B29" s="744"/>
      <c r="C29" s="745"/>
      <c r="D29" s="745"/>
      <c r="E29" s="745"/>
      <c r="F29" s="745"/>
      <c r="G29" s="745"/>
      <c r="H29" s="745"/>
      <c r="I29" s="745"/>
      <c r="J29" s="745"/>
      <c r="K29" s="745"/>
      <c r="L29" s="745"/>
      <c r="M29" s="745"/>
      <c r="N29" s="745"/>
      <c r="O29" s="390"/>
    </row>
    <row r="30" spans="1:15" s="413" customFormat="1" ht="14.25" customHeight="1" hidden="1">
      <c r="A30" s="743"/>
      <c r="B30" s="744"/>
      <c r="C30" s="745"/>
      <c r="D30" s="745"/>
      <c r="E30" s="745"/>
      <c r="F30" s="745"/>
      <c r="G30" s="745"/>
      <c r="H30" s="745"/>
      <c r="I30" s="745"/>
      <c r="J30" s="745"/>
      <c r="K30" s="745"/>
      <c r="L30" s="745"/>
      <c r="M30" s="745"/>
      <c r="N30" s="745"/>
      <c r="O30" s="390"/>
    </row>
    <row r="31" spans="1:15" s="413" customFormat="1" ht="16.5" customHeight="1" hidden="1">
      <c r="A31" s="743"/>
      <c r="B31" s="744"/>
      <c r="C31" s="745"/>
      <c r="D31" s="745"/>
      <c r="E31" s="745"/>
      <c r="F31" s="745"/>
      <c r="G31" s="745"/>
      <c r="H31" s="745"/>
      <c r="I31" s="745"/>
      <c r="J31" s="745"/>
      <c r="K31" s="745"/>
      <c r="L31" s="745"/>
      <c r="M31" s="745"/>
      <c r="N31" s="745"/>
      <c r="O31" s="390"/>
    </row>
    <row r="32" spans="1:15" s="413" customFormat="1" ht="15.75" hidden="1">
      <c r="A32" s="743"/>
      <c r="B32" s="744"/>
      <c r="C32" s="745"/>
      <c r="D32" s="745"/>
      <c r="E32" s="745"/>
      <c r="F32" s="745"/>
      <c r="G32" s="745"/>
      <c r="H32" s="745"/>
      <c r="I32" s="745"/>
      <c r="J32" s="745"/>
      <c r="K32" s="745"/>
      <c r="L32" s="745"/>
      <c r="M32" s="745"/>
      <c r="N32" s="745"/>
      <c r="O32" s="390"/>
    </row>
    <row r="33" ht="15" hidden="1"/>
    <row r="34" ht="15" hidden="1">
      <c r="B34" s="675" t="s">
        <v>689</v>
      </c>
    </row>
    <row r="35" spans="1:14" ht="15" customHeight="1" hidden="1">
      <c r="A35" s="1272" t="s">
        <v>68</v>
      </c>
      <c r="B35" s="1273"/>
      <c r="C35" s="1286" t="s">
        <v>37</v>
      </c>
      <c r="D35" s="1278" t="s">
        <v>335</v>
      </c>
      <c r="E35" s="1282"/>
      <c r="F35" s="1282"/>
      <c r="G35" s="1282"/>
      <c r="H35" s="1282"/>
      <c r="I35" s="1282"/>
      <c r="J35" s="1282"/>
      <c r="K35" s="1282"/>
      <c r="L35" s="1282"/>
      <c r="M35" s="1282"/>
      <c r="N35" s="1283"/>
    </row>
    <row r="36" spans="1:14" ht="15" customHeight="1" hidden="1">
      <c r="A36" s="1274"/>
      <c r="B36" s="1275"/>
      <c r="C36" s="1287"/>
      <c r="D36" s="1289" t="s">
        <v>119</v>
      </c>
      <c r="E36" s="1264" t="s">
        <v>120</v>
      </c>
      <c r="F36" s="1290"/>
      <c r="G36" s="1265"/>
      <c r="H36" s="1271" t="s">
        <v>121</v>
      </c>
      <c r="I36" s="1271" t="s">
        <v>122</v>
      </c>
      <c r="J36" s="1271" t="s">
        <v>123</v>
      </c>
      <c r="K36" s="1271" t="s">
        <v>124</v>
      </c>
      <c r="L36" s="1271" t="s">
        <v>125</v>
      </c>
      <c r="M36" s="1271" t="s">
        <v>126</v>
      </c>
      <c r="N36" s="1271" t="s">
        <v>127</v>
      </c>
    </row>
    <row r="37" spans="1:14" ht="15" hidden="1">
      <c r="A37" s="1274"/>
      <c r="B37" s="1275"/>
      <c r="C37" s="1287"/>
      <c r="D37" s="1284"/>
      <c r="E37" s="1271" t="s">
        <v>36</v>
      </c>
      <c r="F37" s="1264" t="s">
        <v>7</v>
      </c>
      <c r="G37" s="1265"/>
      <c r="H37" s="1262"/>
      <c r="I37" s="1262"/>
      <c r="J37" s="1262"/>
      <c r="K37" s="1262"/>
      <c r="L37" s="1262"/>
      <c r="M37" s="1262"/>
      <c r="N37" s="1262"/>
    </row>
    <row r="38" spans="1:14" ht="15" hidden="1">
      <c r="A38" s="1276"/>
      <c r="B38" s="1277"/>
      <c r="C38" s="1288"/>
      <c r="D38" s="1285"/>
      <c r="E38" s="1263"/>
      <c r="F38" s="557" t="s">
        <v>199</v>
      </c>
      <c r="G38" s="558" t="s">
        <v>200</v>
      </c>
      <c r="H38" s="1263"/>
      <c r="I38" s="1263"/>
      <c r="J38" s="1263"/>
      <c r="K38" s="1263"/>
      <c r="L38" s="1263"/>
      <c r="M38" s="1263"/>
      <c r="N38" s="1263"/>
    </row>
    <row r="39" spans="1:14" ht="15" hidden="1">
      <c r="A39" s="1269" t="s">
        <v>39</v>
      </c>
      <c r="B39" s="1270"/>
      <c r="C39" s="503">
        <v>1</v>
      </c>
      <c r="D39" s="503">
        <v>2</v>
      </c>
      <c r="E39" s="503">
        <v>3</v>
      </c>
      <c r="F39" s="503">
        <v>4</v>
      </c>
      <c r="G39" s="503">
        <v>5</v>
      </c>
      <c r="H39" s="503">
        <v>6</v>
      </c>
      <c r="I39" s="503">
        <v>7</v>
      </c>
      <c r="J39" s="503">
        <v>8</v>
      </c>
      <c r="K39" s="503">
        <v>9</v>
      </c>
      <c r="L39" s="503">
        <v>10</v>
      </c>
      <c r="M39" s="503">
        <v>11</v>
      </c>
      <c r="N39" s="503">
        <v>12</v>
      </c>
    </row>
    <row r="40" spans="1:14" ht="15" hidden="1">
      <c r="A40" s="504" t="s">
        <v>0</v>
      </c>
      <c r="B40" s="426" t="s">
        <v>130</v>
      </c>
      <c r="C40" s="630">
        <f aca="true" t="shared" si="13" ref="C40:C45">SUM(D40,E40,H40:N40)</f>
        <v>82</v>
      </c>
      <c r="D40" s="631">
        <f aca="true" t="shared" si="14" ref="D40:N40">SUM(D41:D42)</f>
        <v>0</v>
      </c>
      <c r="E40" s="631">
        <f t="shared" si="14"/>
        <v>74</v>
      </c>
      <c r="F40" s="631">
        <f t="shared" si="14"/>
        <v>11</v>
      </c>
      <c r="G40" s="631">
        <f t="shared" si="14"/>
        <v>63</v>
      </c>
      <c r="H40" s="631">
        <f t="shared" si="14"/>
        <v>3</v>
      </c>
      <c r="I40" s="631">
        <f t="shared" si="14"/>
        <v>0</v>
      </c>
      <c r="J40" s="631">
        <f t="shared" si="14"/>
        <v>3</v>
      </c>
      <c r="K40" s="631">
        <f t="shared" si="14"/>
        <v>0</v>
      </c>
      <c r="L40" s="631">
        <f t="shared" si="14"/>
        <v>0</v>
      </c>
      <c r="M40" s="631">
        <f t="shared" si="14"/>
        <v>0</v>
      </c>
      <c r="N40" s="631">
        <f t="shared" si="14"/>
        <v>2</v>
      </c>
    </row>
    <row r="41" spans="1:14" ht="15" hidden="1">
      <c r="A41" s="505">
        <v>1</v>
      </c>
      <c r="B41" s="428" t="s">
        <v>131</v>
      </c>
      <c r="C41" s="653">
        <f t="shared" si="13"/>
        <v>56</v>
      </c>
      <c r="D41" s="634"/>
      <c r="E41" s="632">
        <f>SUM(F41:G41)</f>
        <v>55</v>
      </c>
      <c r="F41" s="634">
        <v>11</v>
      </c>
      <c r="G41" s="634">
        <v>44</v>
      </c>
      <c r="H41" s="634">
        <v>0</v>
      </c>
      <c r="I41" s="634">
        <v>0</v>
      </c>
      <c r="J41" s="634">
        <v>1</v>
      </c>
      <c r="K41" s="634">
        <v>0</v>
      </c>
      <c r="L41" s="634">
        <v>0</v>
      </c>
      <c r="M41" s="634">
        <v>0</v>
      </c>
      <c r="N41" s="634">
        <v>0</v>
      </c>
    </row>
    <row r="42" spans="1:14" ht="15" hidden="1">
      <c r="A42" s="505">
        <v>2</v>
      </c>
      <c r="B42" s="428" t="s">
        <v>132</v>
      </c>
      <c r="C42" s="653">
        <f t="shared" si="13"/>
        <v>26</v>
      </c>
      <c r="D42" s="634">
        <v>0</v>
      </c>
      <c r="E42" s="632">
        <f>SUM(F42:G42)</f>
        <v>19</v>
      </c>
      <c r="F42" s="634">
        <v>0</v>
      </c>
      <c r="G42" s="634">
        <v>19</v>
      </c>
      <c r="H42" s="634">
        <v>3</v>
      </c>
      <c r="I42" s="634">
        <v>0</v>
      </c>
      <c r="J42" s="634">
        <v>2</v>
      </c>
      <c r="K42" s="634">
        <v>0</v>
      </c>
      <c r="L42" s="634">
        <v>0</v>
      </c>
      <c r="M42" s="634">
        <v>0</v>
      </c>
      <c r="N42" s="634">
        <v>2</v>
      </c>
    </row>
    <row r="43" spans="1:14" ht="15" hidden="1">
      <c r="A43" s="506" t="s">
        <v>1</v>
      </c>
      <c r="B43" s="394" t="s">
        <v>133</v>
      </c>
      <c r="C43" s="653">
        <f t="shared" si="13"/>
        <v>0</v>
      </c>
      <c r="D43" s="634">
        <v>0</v>
      </c>
      <c r="E43" s="632">
        <f>SUM(F43:G43)</f>
        <v>0</v>
      </c>
      <c r="F43" s="694"/>
      <c r="G43" s="694"/>
      <c r="H43" s="694">
        <v>0</v>
      </c>
      <c r="I43" s="694">
        <v>0</v>
      </c>
      <c r="J43" s="694">
        <v>0</v>
      </c>
      <c r="K43" s="694">
        <v>0</v>
      </c>
      <c r="L43" s="694">
        <v>0</v>
      </c>
      <c r="M43" s="694">
        <v>0</v>
      </c>
      <c r="N43" s="694">
        <v>0</v>
      </c>
    </row>
    <row r="44" spans="1:14" ht="15.75" customHeight="1" hidden="1">
      <c r="A44" s="506" t="s">
        <v>9</v>
      </c>
      <c r="B44" s="394" t="s">
        <v>134</v>
      </c>
      <c r="C44" s="653">
        <f t="shared" si="13"/>
        <v>0</v>
      </c>
      <c r="D44" s="634"/>
      <c r="E44" s="632">
        <f>SUM(F44:G44)</f>
        <v>0</v>
      </c>
      <c r="F44" s="654"/>
      <c r="G44" s="654"/>
      <c r="H44" s="654"/>
      <c r="I44" s="654"/>
      <c r="J44" s="654"/>
      <c r="K44" s="654"/>
      <c r="L44" s="654"/>
      <c r="M44" s="654"/>
      <c r="N44" s="654"/>
    </row>
    <row r="45" spans="1:14" ht="15" hidden="1">
      <c r="A45" s="506" t="s">
        <v>135</v>
      </c>
      <c r="B45" s="394" t="s">
        <v>136</v>
      </c>
      <c r="C45" s="630">
        <f t="shared" si="13"/>
        <v>82</v>
      </c>
      <c r="D45" s="631">
        <f>D40-SUM(D43,D44)</f>
        <v>0</v>
      </c>
      <c r="E45" s="631">
        <f>E40-SUM(E43,E44)</f>
        <v>74</v>
      </c>
      <c r="F45" s="631">
        <f aca="true" t="shared" si="15" ref="F45:M45">F40-SUM(F43,F44)</f>
        <v>11</v>
      </c>
      <c r="G45" s="631">
        <f t="shared" si="15"/>
        <v>63</v>
      </c>
      <c r="H45" s="631">
        <f t="shared" si="15"/>
        <v>3</v>
      </c>
      <c r="I45" s="631">
        <f t="shared" si="15"/>
        <v>0</v>
      </c>
      <c r="J45" s="631">
        <f t="shared" si="15"/>
        <v>3</v>
      </c>
      <c r="K45" s="631">
        <f t="shared" si="15"/>
        <v>0</v>
      </c>
      <c r="L45" s="631">
        <f t="shared" si="15"/>
        <v>0</v>
      </c>
      <c r="M45" s="631">
        <f t="shared" si="15"/>
        <v>0</v>
      </c>
      <c r="N45" s="631">
        <f>N40-SUM(N43,N44)</f>
        <v>2</v>
      </c>
    </row>
    <row r="46" spans="1:14" ht="15" hidden="1">
      <c r="A46" s="506" t="s">
        <v>51</v>
      </c>
      <c r="B46" s="429" t="s">
        <v>137</v>
      </c>
      <c r="C46" s="630">
        <f>C47+C48+C49+C50+C51+C52+C53</f>
        <v>30</v>
      </c>
      <c r="D46" s="630">
        <f>D47+D48+D49+D50+D51+D52+D53</f>
        <v>0</v>
      </c>
      <c r="E46" s="630">
        <f>F46+G46</f>
        <v>23</v>
      </c>
      <c r="F46" s="630">
        <f aca="true" t="shared" si="16" ref="F46:M46">F47+F48+F49+F50+F51+F52+F53</f>
        <v>1</v>
      </c>
      <c r="G46" s="630">
        <f t="shared" si="16"/>
        <v>22</v>
      </c>
      <c r="H46" s="630">
        <f t="shared" si="16"/>
        <v>3</v>
      </c>
      <c r="I46" s="630">
        <f t="shared" si="16"/>
        <v>0</v>
      </c>
      <c r="J46" s="630">
        <f t="shared" si="16"/>
        <v>2</v>
      </c>
      <c r="K46" s="630">
        <f t="shared" si="16"/>
        <v>0</v>
      </c>
      <c r="L46" s="630">
        <f t="shared" si="16"/>
        <v>0</v>
      </c>
      <c r="M46" s="630">
        <f t="shared" si="16"/>
        <v>0</v>
      </c>
      <c r="N46" s="630">
        <f>N47+N48+N49+N50+N51+N52+N53</f>
        <v>2</v>
      </c>
    </row>
    <row r="47" spans="1:14" ht="15.75" hidden="1">
      <c r="A47" s="505" t="s">
        <v>53</v>
      </c>
      <c r="B47" s="428" t="s">
        <v>138</v>
      </c>
      <c r="C47" s="635">
        <f aca="true" t="shared" si="17" ref="C47:C53">SUM(D47,E47,H47:N47)</f>
        <v>24</v>
      </c>
      <c r="D47" s="720"/>
      <c r="E47" s="632">
        <f aca="true" t="shared" si="18" ref="E47:E53">SUM(F47:G47)</f>
        <v>18</v>
      </c>
      <c r="F47" s="720">
        <v>1</v>
      </c>
      <c r="G47" s="720">
        <v>17</v>
      </c>
      <c r="H47" s="720">
        <v>3</v>
      </c>
      <c r="I47" s="720">
        <v>0</v>
      </c>
      <c r="J47" s="720">
        <v>2</v>
      </c>
      <c r="K47" s="720">
        <v>0</v>
      </c>
      <c r="L47" s="720">
        <v>0</v>
      </c>
      <c r="M47" s="720">
        <v>0</v>
      </c>
      <c r="N47" s="720">
        <v>1</v>
      </c>
    </row>
    <row r="48" spans="1:14" ht="15" hidden="1">
      <c r="A48" s="505" t="s">
        <v>54</v>
      </c>
      <c r="B48" s="428" t="s">
        <v>139</v>
      </c>
      <c r="C48" s="635">
        <f t="shared" si="17"/>
        <v>0</v>
      </c>
      <c r="D48" s="634">
        <v>0</v>
      </c>
      <c r="E48" s="632">
        <f t="shared" si="18"/>
        <v>0</v>
      </c>
      <c r="F48" s="634">
        <v>0</v>
      </c>
      <c r="G48" s="634">
        <v>0</v>
      </c>
      <c r="H48" s="634">
        <v>0</v>
      </c>
      <c r="I48" s="634">
        <v>0</v>
      </c>
      <c r="J48" s="634">
        <v>0</v>
      </c>
      <c r="K48" s="634">
        <v>0</v>
      </c>
      <c r="L48" s="634">
        <v>0</v>
      </c>
      <c r="M48" s="634">
        <v>0</v>
      </c>
      <c r="N48" s="634">
        <v>0</v>
      </c>
    </row>
    <row r="49" spans="1:14" ht="15" hidden="1">
      <c r="A49" s="505" t="s">
        <v>140</v>
      </c>
      <c r="B49" s="428" t="s">
        <v>141</v>
      </c>
      <c r="C49" s="635">
        <f t="shared" si="17"/>
        <v>6</v>
      </c>
      <c r="D49" s="634">
        <v>0</v>
      </c>
      <c r="E49" s="632">
        <f t="shared" si="18"/>
        <v>5</v>
      </c>
      <c r="F49" s="634">
        <v>0</v>
      </c>
      <c r="G49" s="634">
        <v>5</v>
      </c>
      <c r="H49" s="634">
        <v>0</v>
      </c>
      <c r="I49" s="634">
        <v>0</v>
      </c>
      <c r="J49" s="634">
        <v>0</v>
      </c>
      <c r="K49" s="634">
        <v>0</v>
      </c>
      <c r="L49" s="634">
        <v>0</v>
      </c>
      <c r="M49" s="634">
        <v>0</v>
      </c>
      <c r="N49" s="634">
        <v>1</v>
      </c>
    </row>
    <row r="50" spans="1:14" ht="15.75" hidden="1">
      <c r="A50" s="505" t="s">
        <v>142</v>
      </c>
      <c r="B50" s="428" t="s">
        <v>143</v>
      </c>
      <c r="C50" s="636">
        <f t="shared" si="17"/>
        <v>0</v>
      </c>
      <c r="D50" s="634">
        <v>0</v>
      </c>
      <c r="E50" s="637">
        <f t="shared" si="18"/>
        <v>0</v>
      </c>
      <c r="F50" s="677"/>
      <c r="G50" s="677"/>
      <c r="H50" s="677"/>
      <c r="I50" s="677"/>
      <c r="J50" s="677"/>
      <c r="K50" s="677"/>
      <c r="L50" s="677"/>
      <c r="M50" s="677"/>
      <c r="N50" s="677"/>
    </row>
    <row r="51" spans="1:14" ht="15.75" hidden="1">
      <c r="A51" s="505" t="s">
        <v>144</v>
      </c>
      <c r="B51" s="428" t="s">
        <v>145</v>
      </c>
      <c r="C51" s="635">
        <f t="shared" si="17"/>
        <v>0</v>
      </c>
      <c r="D51" s="642"/>
      <c r="E51" s="632">
        <f t="shared" si="18"/>
        <v>0</v>
      </c>
      <c r="F51" s="677"/>
      <c r="G51" s="677"/>
      <c r="H51" s="677"/>
      <c r="I51" s="677"/>
      <c r="J51" s="677"/>
      <c r="K51" s="677"/>
      <c r="L51" s="677"/>
      <c r="M51" s="677"/>
      <c r="N51" s="677"/>
    </row>
    <row r="52" spans="1:14" ht="25.5" hidden="1">
      <c r="A52" s="505" t="s">
        <v>146</v>
      </c>
      <c r="B52" s="430" t="s">
        <v>147</v>
      </c>
      <c r="C52" s="635">
        <f t="shared" si="17"/>
        <v>0</v>
      </c>
      <c r="D52" s="642"/>
      <c r="E52" s="632">
        <f t="shared" si="18"/>
        <v>0</v>
      </c>
      <c r="F52" s="677"/>
      <c r="G52" s="677"/>
      <c r="H52" s="677"/>
      <c r="I52" s="677"/>
      <c r="J52" s="677"/>
      <c r="K52" s="677"/>
      <c r="L52" s="677"/>
      <c r="M52" s="677"/>
      <c r="N52" s="677"/>
    </row>
    <row r="53" spans="1:14" ht="15.75" hidden="1">
      <c r="A53" s="505" t="s">
        <v>148</v>
      </c>
      <c r="B53" s="428" t="s">
        <v>149</v>
      </c>
      <c r="C53" s="635">
        <f t="shared" si="17"/>
        <v>0</v>
      </c>
      <c r="D53" s="642"/>
      <c r="E53" s="632">
        <f t="shared" si="18"/>
        <v>0</v>
      </c>
      <c r="F53" s="405">
        <f>0+0+0</f>
        <v>0</v>
      </c>
      <c r="G53" s="654"/>
      <c r="H53" s="654">
        <f>0+0+0</f>
        <v>0</v>
      </c>
      <c r="I53" s="654"/>
      <c r="J53" s="654"/>
      <c r="K53" s="654"/>
      <c r="L53" s="654"/>
      <c r="M53" s="654"/>
      <c r="N53" s="654"/>
    </row>
    <row r="54" spans="1:14" ht="15" hidden="1">
      <c r="A54" s="506" t="s">
        <v>52</v>
      </c>
      <c r="B54" s="394" t="s">
        <v>150</v>
      </c>
      <c r="C54" s="630">
        <f>SUM(D54,E54,H54:N54)</f>
        <v>52</v>
      </c>
      <c r="D54" s="630">
        <f>D45-D46</f>
        <v>0</v>
      </c>
      <c r="E54" s="631">
        <f>SUM(F54:G54)</f>
        <v>51</v>
      </c>
      <c r="F54" s="630">
        <f aca="true" t="shared" si="19" ref="F54:N54">F45-F46</f>
        <v>10</v>
      </c>
      <c r="G54" s="630">
        <f t="shared" si="19"/>
        <v>41</v>
      </c>
      <c r="H54" s="630">
        <f t="shared" si="19"/>
        <v>0</v>
      </c>
      <c r="I54" s="630">
        <f t="shared" si="19"/>
        <v>0</v>
      </c>
      <c r="J54" s="630">
        <f t="shared" si="19"/>
        <v>1</v>
      </c>
      <c r="K54" s="630">
        <f t="shared" si="19"/>
        <v>0</v>
      </c>
      <c r="L54" s="630">
        <f t="shared" si="19"/>
        <v>0</v>
      </c>
      <c r="M54" s="630">
        <f t="shared" si="19"/>
        <v>0</v>
      </c>
      <c r="N54" s="630">
        <f t="shared" si="19"/>
        <v>0</v>
      </c>
    </row>
    <row r="55" spans="1:14" ht="25.5" hidden="1">
      <c r="A55" s="506" t="s">
        <v>538</v>
      </c>
      <c r="B55" s="431" t="s">
        <v>151</v>
      </c>
      <c r="C55" s="412">
        <f>(C47+C48)/C46</f>
        <v>0.8</v>
      </c>
      <c r="D55" s="412" t="e">
        <f aca="true" t="shared" si="20" ref="D55:N55">(D47+C48)/D46</f>
        <v>#DIV/0!</v>
      </c>
      <c r="E55" s="412">
        <f t="shared" si="20"/>
        <v>0.782608695652174</v>
      </c>
      <c r="F55" s="412">
        <f t="shared" si="20"/>
        <v>1</v>
      </c>
      <c r="G55" s="412">
        <f t="shared" si="20"/>
        <v>0.7727272727272727</v>
      </c>
      <c r="H55" s="412">
        <f t="shared" si="20"/>
        <v>1</v>
      </c>
      <c r="I55" s="412" t="e">
        <f t="shared" si="20"/>
        <v>#DIV/0!</v>
      </c>
      <c r="J55" s="412">
        <f t="shared" si="20"/>
        <v>1</v>
      </c>
      <c r="K55" s="412" t="e">
        <f t="shared" si="20"/>
        <v>#DIV/0!</v>
      </c>
      <c r="L55" s="412" t="e">
        <f t="shared" si="20"/>
        <v>#DIV/0!</v>
      </c>
      <c r="M55" s="412" t="e">
        <f t="shared" si="20"/>
        <v>#DIV/0!</v>
      </c>
      <c r="N55" s="412">
        <f t="shared" si="20"/>
        <v>0.5</v>
      </c>
    </row>
    <row r="56" ht="15" hidden="1"/>
    <row r="57" ht="15" hidden="1">
      <c r="B57" s="676" t="s">
        <v>503</v>
      </c>
    </row>
    <row r="58" spans="1:14" ht="15" customHeight="1" hidden="1">
      <c r="A58" s="1272" t="s">
        <v>68</v>
      </c>
      <c r="B58" s="1273"/>
      <c r="C58" s="1286" t="s">
        <v>37</v>
      </c>
      <c r="D58" s="1278" t="s">
        <v>335</v>
      </c>
      <c r="E58" s="1282"/>
      <c r="F58" s="1282"/>
      <c r="G58" s="1282"/>
      <c r="H58" s="1282"/>
      <c r="I58" s="1282"/>
      <c r="J58" s="1282"/>
      <c r="K58" s="1282"/>
      <c r="L58" s="1282"/>
      <c r="M58" s="1282"/>
      <c r="N58" s="1283"/>
    </row>
    <row r="59" spans="1:14" ht="15" customHeight="1" hidden="1">
      <c r="A59" s="1274"/>
      <c r="B59" s="1275"/>
      <c r="C59" s="1287"/>
      <c r="D59" s="1289" t="s">
        <v>119</v>
      </c>
      <c r="E59" s="1264" t="s">
        <v>120</v>
      </c>
      <c r="F59" s="1290"/>
      <c r="G59" s="1265"/>
      <c r="H59" s="1271" t="s">
        <v>121</v>
      </c>
      <c r="I59" s="1271" t="s">
        <v>122</v>
      </c>
      <c r="J59" s="1271" t="s">
        <v>123</v>
      </c>
      <c r="K59" s="1271" t="s">
        <v>124</v>
      </c>
      <c r="L59" s="1271" t="s">
        <v>125</v>
      </c>
      <c r="M59" s="1271" t="s">
        <v>126</v>
      </c>
      <c r="N59" s="1271" t="s">
        <v>127</v>
      </c>
    </row>
    <row r="60" spans="1:14" ht="15" hidden="1">
      <c r="A60" s="1274"/>
      <c r="B60" s="1275"/>
      <c r="C60" s="1287"/>
      <c r="D60" s="1284"/>
      <c r="E60" s="1271" t="s">
        <v>36</v>
      </c>
      <c r="F60" s="1264" t="s">
        <v>7</v>
      </c>
      <c r="G60" s="1265"/>
      <c r="H60" s="1262"/>
      <c r="I60" s="1262"/>
      <c r="J60" s="1262"/>
      <c r="K60" s="1262"/>
      <c r="L60" s="1262"/>
      <c r="M60" s="1262"/>
      <c r="N60" s="1262"/>
    </row>
    <row r="61" spans="1:14" ht="15" hidden="1">
      <c r="A61" s="1276"/>
      <c r="B61" s="1277"/>
      <c r="C61" s="1288"/>
      <c r="D61" s="1285"/>
      <c r="E61" s="1263"/>
      <c r="F61" s="557" t="s">
        <v>199</v>
      </c>
      <c r="G61" s="558" t="s">
        <v>200</v>
      </c>
      <c r="H61" s="1263"/>
      <c r="I61" s="1263"/>
      <c r="J61" s="1263"/>
      <c r="K61" s="1263"/>
      <c r="L61" s="1263"/>
      <c r="M61" s="1263"/>
      <c r="N61" s="1263"/>
    </row>
    <row r="62" spans="1:14" ht="15" hidden="1">
      <c r="A62" s="1269" t="s">
        <v>39</v>
      </c>
      <c r="B62" s="1270"/>
      <c r="C62" s="503">
        <v>1</v>
      </c>
      <c r="D62" s="503">
        <v>2</v>
      </c>
      <c r="E62" s="503">
        <v>3</v>
      </c>
      <c r="F62" s="503">
        <v>4</v>
      </c>
      <c r="G62" s="503">
        <v>5</v>
      </c>
      <c r="H62" s="503">
        <v>6</v>
      </c>
      <c r="I62" s="503">
        <v>7</v>
      </c>
      <c r="J62" s="503">
        <v>8</v>
      </c>
      <c r="K62" s="503">
        <v>9</v>
      </c>
      <c r="L62" s="503">
        <v>10</v>
      </c>
      <c r="M62" s="503">
        <v>11</v>
      </c>
      <c r="N62" s="503">
        <v>12</v>
      </c>
    </row>
    <row r="63" spans="1:14" ht="17.25" customHeight="1" hidden="1">
      <c r="A63" s="504" t="s">
        <v>0</v>
      </c>
      <c r="B63" s="426" t="s">
        <v>130</v>
      </c>
      <c r="C63" s="630">
        <f aca="true" t="shared" si="21" ref="C63:C68">SUM(D63,E63,H63:N63)</f>
        <v>459</v>
      </c>
      <c r="D63" s="631">
        <f aca="true" t="shared" si="22" ref="D63:N63">SUM(D64:D65)</f>
        <v>143</v>
      </c>
      <c r="E63" s="631">
        <f t="shared" si="22"/>
        <v>159</v>
      </c>
      <c r="F63" s="631">
        <f t="shared" si="22"/>
        <v>49</v>
      </c>
      <c r="G63" s="631">
        <f t="shared" si="22"/>
        <v>110</v>
      </c>
      <c r="H63" s="631">
        <f t="shared" si="22"/>
        <v>0</v>
      </c>
      <c r="I63" s="631">
        <f t="shared" si="22"/>
        <v>148</v>
      </c>
      <c r="J63" s="631">
        <f t="shared" si="22"/>
        <v>7</v>
      </c>
      <c r="K63" s="631">
        <f t="shared" si="22"/>
        <v>2</v>
      </c>
      <c r="L63" s="631">
        <f t="shared" si="22"/>
        <v>0</v>
      </c>
      <c r="M63" s="631">
        <f t="shared" si="22"/>
        <v>0</v>
      </c>
      <c r="N63" s="631">
        <f t="shared" si="22"/>
        <v>0</v>
      </c>
    </row>
    <row r="64" spans="1:14" ht="21.75" customHeight="1" hidden="1">
      <c r="A64" s="505">
        <v>1</v>
      </c>
      <c r="B64" s="428" t="s">
        <v>131</v>
      </c>
      <c r="C64" s="653">
        <f t="shared" si="21"/>
        <v>183</v>
      </c>
      <c r="D64" s="654">
        <v>90</v>
      </c>
      <c r="E64" s="632">
        <f>SUM(F64:G64)</f>
        <v>84</v>
      </c>
      <c r="F64" s="405">
        <v>23</v>
      </c>
      <c r="G64" s="405">
        <v>61</v>
      </c>
      <c r="H64" s="405">
        <v>0</v>
      </c>
      <c r="I64" s="405">
        <v>5</v>
      </c>
      <c r="J64" s="405">
        <v>2</v>
      </c>
      <c r="K64" s="405">
        <v>2</v>
      </c>
      <c r="L64" s="405">
        <v>0</v>
      </c>
      <c r="M64" s="405">
        <v>0</v>
      </c>
      <c r="N64" s="654"/>
    </row>
    <row r="65" spans="1:14" ht="20.25" customHeight="1" hidden="1">
      <c r="A65" s="505">
        <v>2</v>
      </c>
      <c r="B65" s="428" t="s">
        <v>132</v>
      </c>
      <c r="C65" s="653">
        <f t="shared" si="21"/>
        <v>276</v>
      </c>
      <c r="D65" s="654">
        <v>53</v>
      </c>
      <c r="E65" s="632">
        <f>SUM(F65:G65)</f>
        <v>75</v>
      </c>
      <c r="F65" s="405">
        <v>26</v>
      </c>
      <c r="G65" s="405">
        <v>49</v>
      </c>
      <c r="H65" s="405">
        <v>0</v>
      </c>
      <c r="I65" s="405">
        <v>143</v>
      </c>
      <c r="J65" s="405">
        <v>5</v>
      </c>
      <c r="K65" s="405">
        <v>0</v>
      </c>
      <c r="L65" s="405">
        <v>0</v>
      </c>
      <c r="M65" s="405">
        <v>0</v>
      </c>
      <c r="N65" s="654"/>
    </row>
    <row r="66" spans="1:14" ht="15" hidden="1">
      <c r="A66" s="506" t="s">
        <v>1</v>
      </c>
      <c r="B66" s="394" t="s">
        <v>133</v>
      </c>
      <c r="C66" s="653">
        <f t="shared" si="21"/>
        <v>3</v>
      </c>
      <c r="D66" s="654">
        <v>2</v>
      </c>
      <c r="E66" s="632">
        <f>SUM(F66:G66)</f>
        <v>1</v>
      </c>
      <c r="F66" s="405">
        <v>1</v>
      </c>
      <c r="G66" s="405">
        <v>0</v>
      </c>
      <c r="H66" s="405">
        <v>0</v>
      </c>
      <c r="I66" s="405">
        <v>0</v>
      </c>
      <c r="J66" s="405">
        <v>0</v>
      </c>
      <c r="K66" s="405">
        <v>0</v>
      </c>
      <c r="L66" s="405">
        <v>0</v>
      </c>
      <c r="M66" s="405">
        <v>0</v>
      </c>
      <c r="N66" s="654"/>
    </row>
    <row r="67" spans="1:14" ht="16.5" customHeight="1" hidden="1">
      <c r="A67" s="506" t="s">
        <v>9</v>
      </c>
      <c r="B67" s="394" t="s">
        <v>134</v>
      </c>
      <c r="C67" s="653">
        <f t="shared" si="21"/>
        <v>0</v>
      </c>
      <c r="D67" s="694"/>
      <c r="E67" s="632">
        <f>SUM(F67:G67)</f>
        <v>0</v>
      </c>
      <c r="F67" s="654"/>
      <c r="G67" s="654"/>
      <c r="H67" s="654"/>
      <c r="I67" s="654"/>
      <c r="J67" s="654"/>
      <c r="K67" s="654"/>
      <c r="L67" s="654"/>
      <c r="M67" s="654"/>
      <c r="N67" s="654"/>
    </row>
    <row r="68" spans="1:14" ht="15" hidden="1">
      <c r="A68" s="506" t="s">
        <v>135</v>
      </c>
      <c r="B68" s="394" t="s">
        <v>136</v>
      </c>
      <c r="C68" s="630">
        <f t="shared" si="21"/>
        <v>456</v>
      </c>
      <c r="D68" s="631">
        <f>D63-SUM(D66,D67)</f>
        <v>141</v>
      </c>
      <c r="E68" s="631">
        <f>E63-SUM(E66,E67)</f>
        <v>158</v>
      </c>
      <c r="F68" s="631">
        <f aca="true" t="shared" si="23" ref="F68:M68">F63-SUM(F66,F67)</f>
        <v>48</v>
      </c>
      <c r="G68" s="631">
        <f t="shared" si="23"/>
        <v>110</v>
      </c>
      <c r="H68" s="631">
        <f t="shared" si="23"/>
        <v>0</v>
      </c>
      <c r="I68" s="631">
        <f t="shared" si="23"/>
        <v>148</v>
      </c>
      <c r="J68" s="631">
        <f t="shared" si="23"/>
        <v>7</v>
      </c>
      <c r="K68" s="631">
        <f t="shared" si="23"/>
        <v>2</v>
      </c>
      <c r="L68" s="631">
        <f t="shared" si="23"/>
        <v>0</v>
      </c>
      <c r="M68" s="631">
        <f t="shared" si="23"/>
        <v>0</v>
      </c>
      <c r="N68" s="631">
        <f>N63-SUM(N66,N67)</f>
        <v>0</v>
      </c>
    </row>
    <row r="69" spans="1:14" ht="15" hidden="1">
      <c r="A69" s="506" t="s">
        <v>51</v>
      </c>
      <c r="B69" s="429" t="s">
        <v>137</v>
      </c>
      <c r="C69" s="630">
        <f>C70+C71+C72+C73+C74+C75+C76</f>
        <v>307</v>
      </c>
      <c r="D69" s="630">
        <f>D70+D71+D72+D73+D74+D75+D76</f>
        <v>76</v>
      </c>
      <c r="E69" s="630">
        <f>F69+G69</f>
        <v>79</v>
      </c>
      <c r="F69" s="630">
        <f aca="true" t="shared" si="24" ref="F69:M69">F70+F71+F72+F73+F74+F75+F76</f>
        <v>27</v>
      </c>
      <c r="G69" s="630">
        <f t="shared" si="24"/>
        <v>52</v>
      </c>
      <c r="H69" s="630">
        <f t="shared" si="24"/>
        <v>0</v>
      </c>
      <c r="I69" s="630">
        <f t="shared" si="24"/>
        <v>147</v>
      </c>
      <c r="J69" s="630">
        <f t="shared" si="24"/>
        <v>5</v>
      </c>
      <c r="K69" s="630">
        <f t="shared" si="24"/>
        <v>0</v>
      </c>
      <c r="L69" s="630">
        <f t="shared" si="24"/>
        <v>0</v>
      </c>
      <c r="M69" s="630">
        <f t="shared" si="24"/>
        <v>0</v>
      </c>
      <c r="N69" s="630">
        <f>N70+N71+N72+N73+N74+N75+N76</f>
        <v>0</v>
      </c>
    </row>
    <row r="70" spans="1:14" ht="15" hidden="1">
      <c r="A70" s="505" t="s">
        <v>53</v>
      </c>
      <c r="B70" s="428" t="s">
        <v>138</v>
      </c>
      <c r="C70" s="635">
        <f aca="true" t="shared" si="25" ref="C70:C76">SUM(D70,E70,H70:N70)</f>
        <v>262</v>
      </c>
      <c r="D70" s="405">
        <v>49</v>
      </c>
      <c r="E70" s="632">
        <f aca="true" t="shared" si="26" ref="E70:E76">SUM(F70:G70)</f>
        <v>66</v>
      </c>
      <c r="F70" s="405">
        <v>24</v>
      </c>
      <c r="G70" s="405">
        <v>42</v>
      </c>
      <c r="H70" s="405">
        <v>0</v>
      </c>
      <c r="I70" s="405">
        <v>143</v>
      </c>
      <c r="J70" s="405">
        <v>4</v>
      </c>
      <c r="K70" s="405">
        <v>0</v>
      </c>
      <c r="L70" s="405">
        <v>0</v>
      </c>
      <c r="M70" s="654"/>
      <c r="N70" s="654"/>
    </row>
    <row r="71" spans="1:14" ht="15" hidden="1">
      <c r="A71" s="505" t="s">
        <v>54</v>
      </c>
      <c r="B71" s="428" t="s">
        <v>139</v>
      </c>
      <c r="C71" s="635">
        <f t="shared" si="25"/>
        <v>0</v>
      </c>
      <c r="D71" s="405">
        <v>0</v>
      </c>
      <c r="E71" s="632">
        <f t="shared" si="26"/>
        <v>0</v>
      </c>
      <c r="F71" s="405">
        <v>0</v>
      </c>
      <c r="G71" s="405">
        <v>0</v>
      </c>
      <c r="H71" s="405">
        <v>0</v>
      </c>
      <c r="I71" s="405">
        <v>0</v>
      </c>
      <c r="J71" s="405">
        <v>0</v>
      </c>
      <c r="K71" s="405">
        <v>0</v>
      </c>
      <c r="L71" s="405">
        <v>0</v>
      </c>
      <c r="M71" s="654"/>
      <c r="N71" s="654"/>
    </row>
    <row r="72" spans="1:14" ht="15" hidden="1">
      <c r="A72" s="505" t="s">
        <v>140</v>
      </c>
      <c r="B72" s="428" t="s">
        <v>141</v>
      </c>
      <c r="C72" s="635">
        <f t="shared" si="25"/>
        <v>37</v>
      </c>
      <c r="D72" s="405">
        <v>19</v>
      </c>
      <c r="E72" s="632">
        <f t="shared" si="26"/>
        <v>13</v>
      </c>
      <c r="F72" s="405">
        <v>3</v>
      </c>
      <c r="G72" s="405">
        <v>10</v>
      </c>
      <c r="H72" s="405">
        <v>0</v>
      </c>
      <c r="I72" s="405">
        <v>4</v>
      </c>
      <c r="J72" s="405">
        <v>1</v>
      </c>
      <c r="K72" s="405">
        <v>0</v>
      </c>
      <c r="L72" s="405">
        <v>0</v>
      </c>
      <c r="M72" s="654"/>
      <c r="N72" s="654"/>
    </row>
    <row r="73" spans="1:14" ht="15" hidden="1">
      <c r="A73" s="505" t="s">
        <v>142</v>
      </c>
      <c r="B73" s="428" t="s">
        <v>143</v>
      </c>
      <c r="C73" s="636">
        <f t="shared" si="25"/>
        <v>8</v>
      </c>
      <c r="D73" s="405">
        <v>8</v>
      </c>
      <c r="E73" s="637">
        <f t="shared" si="26"/>
        <v>0</v>
      </c>
      <c r="F73" s="405">
        <v>0</v>
      </c>
      <c r="G73" s="405">
        <v>0</v>
      </c>
      <c r="H73" s="405">
        <v>0</v>
      </c>
      <c r="I73" s="405">
        <v>0</v>
      </c>
      <c r="J73" s="405">
        <v>0</v>
      </c>
      <c r="K73" s="405">
        <v>0</v>
      </c>
      <c r="L73" s="405">
        <v>0</v>
      </c>
      <c r="M73" s="654">
        <v>0</v>
      </c>
      <c r="N73" s="654">
        <v>0</v>
      </c>
    </row>
    <row r="74" spans="1:14" ht="15" hidden="1">
      <c r="A74" s="505" t="s">
        <v>144</v>
      </c>
      <c r="B74" s="428" t="s">
        <v>145</v>
      </c>
      <c r="C74" s="635">
        <f t="shared" si="25"/>
        <v>0</v>
      </c>
      <c r="D74" s="405">
        <v>0</v>
      </c>
      <c r="E74" s="632">
        <f t="shared" si="26"/>
        <v>0</v>
      </c>
      <c r="F74" s="654">
        <v>0</v>
      </c>
      <c r="G74" s="654">
        <v>0</v>
      </c>
      <c r="H74" s="654">
        <v>0</v>
      </c>
      <c r="I74" s="654">
        <v>0</v>
      </c>
      <c r="J74" s="654">
        <v>0</v>
      </c>
      <c r="K74" s="654">
        <v>0</v>
      </c>
      <c r="L74" s="654">
        <v>0</v>
      </c>
      <c r="M74" s="654">
        <v>0</v>
      </c>
      <c r="N74" s="654">
        <v>0</v>
      </c>
    </row>
    <row r="75" spans="1:14" ht="25.5" hidden="1">
      <c r="A75" s="505" t="s">
        <v>146</v>
      </c>
      <c r="B75" s="430" t="s">
        <v>147</v>
      </c>
      <c r="C75" s="635">
        <f t="shared" si="25"/>
        <v>0</v>
      </c>
      <c r="D75" s="405">
        <v>0</v>
      </c>
      <c r="E75" s="632">
        <f t="shared" si="26"/>
        <v>0</v>
      </c>
      <c r="F75" s="654">
        <v>0</v>
      </c>
      <c r="G75" s="654">
        <v>0</v>
      </c>
      <c r="H75" s="654">
        <v>0</v>
      </c>
      <c r="I75" s="654">
        <v>0</v>
      </c>
      <c r="J75" s="654">
        <v>0</v>
      </c>
      <c r="K75" s="654">
        <v>0</v>
      </c>
      <c r="L75" s="654">
        <v>0</v>
      </c>
      <c r="M75" s="654">
        <v>0</v>
      </c>
      <c r="N75" s="654">
        <v>0</v>
      </c>
    </row>
    <row r="76" spans="1:14" ht="15" hidden="1">
      <c r="A76" s="505" t="s">
        <v>148</v>
      </c>
      <c r="B76" s="428" t="s">
        <v>149</v>
      </c>
      <c r="C76" s="635">
        <f t="shared" si="25"/>
        <v>0</v>
      </c>
      <c r="D76" s="405">
        <v>0</v>
      </c>
      <c r="E76" s="632">
        <f t="shared" si="26"/>
        <v>0</v>
      </c>
      <c r="F76" s="654">
        <v>0</v>
      </c>
      <c r="G76" s="654">
        <v>0</v>
      </c>
      <c r="H76" s="654">
        <v>0</v>
      </c>
      <c r="I76" s="654"/>
      <c r="J76" s="654">
        <v>0</v>
      </c>
      <c r="K76" s="654">
        <v>0</v>
      </c>
      <c r="L76" s="654">
        <v>0</v>
      </c>
      <c r="M76" s="654">
        <v>0</v>
      </c>
      <c r="N76" s="654">
        <v>0</v>
      </c>
    </row>
    <row r="77" spans="1:14" ht="18.75" customHeight="1" hidden="1">
      <c r="A77" s="506" t="s">
        <v>52</v>
      </c>
      <c r="B77" s="394" t="s">
        <v>150</v>
      </c>
      <c r="C77" s="630">
        <f>SUM(D77,E77,H77:N77)</f>
        <v>149</v>
      </c>
      <c r="D77" s="630">
        <f aca="true" t="shared" si="27" ref="D77:N77">D68-D69</f>
        <v>65</v>
      </c>
      <c r="E77" s="631">
        <f>SUM(F77:G77)</f>
        <v>79</v>
      </c>
      <c r="F77" s="630">
        <f t="shared" si="27"/>
        <v>21</v>
      </c>
      <c r="G77" s="630">
        <f t="shared" si="27"/>
        <v>58</v>
      </c>
      <c r="H77" s="630">
        <f t="shared" si="27"/>
        <v>0</v>
      </c>
      <c r="I77" s="630">
        <f t="shared" si="27"/>
        <v>1</v>
      </c>
      <c r="J77" s="630">
        <f t="shared" si="27"/>
        <v>2</v>
      </c>
      <c r="K77" s="630">
        <f t="shared" si="27"/>
        <v>2</v>
      </c>
      <c r="L77" s="630">
        <f t="shared" si="27"/>
        <v>0</v>
      </c>
      <c r="M77" s="630">
        <f t="shared" si="27"/>
        <v>0</v>
      </c>
      <c r="N77" s="630">
        <f t="shared" si="27"/>
        <v>0</v>
      </c>
    </row>
    <row r="78" spans="1:14" ht="25.5" hidden="1">
      <c r="A78" s="506" t="s">
        <v>538</v>
      </c>
      <c r="B78" s="431" t="s">
        <v>151</v>
      </c>
      <c r="C78" s="412">
        <f>(C70+C71)/C69</f>
        <v>0.8534201954397395</v>
      </c>
      <c r="D78" s="412">
        <f aca="true" t="shared" si="28" ref="D78:N78">(D70+C71)/D69</f>
        <v>0.6447368421052632</v>
      </c>
      <c r="E78" s="412">
        <f t="shared" si="28"/>
        <v>0.8354430379746836</v>
      </c>
      <c r="F78" s="412">
        <f t="shared" si="28"/>
        <v>0.8888888888888888</v>
      </c>
      <c r="G78" s="412">
        <f t="shared" si="28"/>
        <v>0.8076923076923077</v>
      </c>
      <c r="H78" s="412" t="e">
        <f t="shared" si="28"/>
        <v>#DIV/0!</v>
      </c>
      <c r="I78" s="412">
        <f t="shared" si="28"/>
        <v>0.9727891156462585</v>
      </c>
      <c r="J78" s="412">
        <f t="shared" si="28"/>
        <v>0.8</v>
      </c>
      <c r="K78" s="412" t="e">
        <f t="shared" si="28"/>
        <v>#DIV/0!</v>
      </c>
      <c r="L78" s="412" t="e">
        <f t="shared" si="28"/>
        <v>#DIV/0!</v>
      </c>
      <c r="M78" s="412" t="e">
        <f t="shared" si="28"/>
        <v>#DIV/0!</v>
      </c>
      <c r="N78" s="412" t="e">
        <f t="shared" si="28"/>
        <v>#DIV/0!</v>
      </c>
    </row>
    <row r="79" ht="15" hidden="1"/>
    <row r="80" ht="15" hidden="1">
      <c r="B80" s="388" t="s">
        <v>690</v>
      </c>
    </row>
    <row r="81" spans="1:14" ht="15" customHeight="1" hidden="1">
      <c r="A81" s="1272" t="s">
        <v>68</v>
      </c>
      <c r="B81" s="1273"/>
      <c r="C81" s="1286" t="s">
        <v>37</v>
      </c>
      <c r="D81" s="1278" t="s">
        <v>335</v>
      </c>
      <c r="E81" s="1282"/>
      <c r="F81" s="1282"/>
      <c r="G81" s="1282"/>
      <c r="H81" s="1282"/>
      <c r="I81" s="1282"/>
      <c r="J81" s="1282"/>
      <c r="K81" s="1282"/>
      <c r="L81" s="1282"/>
      <c r="M81" s="1282"/>
      <c r="N81" s="1283"/>
    </row>
    <row r="82" spans="1:14" ht="15" customHeight="1" hidden="1">
      <c r="A82" s="1274"/>
      <c r="B82" s="1275"/>
      <c r="C82" s="1287"/>
      <c r="D82" s="1289" t="s">
        <v>119</v>
      </c>
      <c r="E82" s="1264" t="s">
        <v>120</v>
      </c>
      <c r="F82" s="1290"/>
      <c r="G82" s="1265"/>
      <c r="H82" s="1271" t="s">
        <v>121</v>
      </c>
      <c r="I82" s="1271" t="s">
        <v>122</v>
      </c>
      <c r="J82" s="1271" t="s">
        <v>123</v>
      </c>
      <c r="K82" s="1271" t="s">
        <v>124</v>
      </c>
      <c r="L82" s="1271" t="s">
        <v>125</v>
      </c>
      <c r="M82" s="1271" t="s">
        <v>126</v>
      </c>
      <c r="N82" s="1271" t="s">
        <v>127</v>
      </c>
    </row>
    <row r="83" spans="1:14" ht="15" hidden="1">
      <c r="A83" s="1274"/>
      <c r="B83" s="1275"/>
      <c r="C83" s="1287"/>
      <c r="D83" s="1284"/>
      <c r="E83" s="1271" t="s">
        <v>36</v>
      </c>
      <c r="F83" s="1264" t="s">
        <v>7</v>
      </c>
      <c r="G83" s="1265"/>
      <c r="H83" s="1262"/>
      <c r="I83" s="1262"/>
      <c r="J83" s="1262"/>
      <c r="K83" s="1262"/>
      <c r="L83" s="1262"/>
      <c r="M83" s="1262"/>
      <c r="N83" s="1262"/>
    </row>
    <row r="84" spans="1:14" ht="15" hidden="1">
      <c r="A84" s="1276"/>
      <c r="B84" s="1277"/>
      <c r="C84" s="1288"/>
      <c r="D84" s="1285"/>
      <c r="E84" s="1263"/>
      <c r="F84" s="557" t="s">
        <v>199</v>
      </c>
      <c r="G84" s="558" t="s">
        <v>200</v>
      </c>
      <c r="H84" s="1263"/>
      <c r="I84" s="1263"/>
      <c r="J84" s="1263"/>
      <c r="K84" s="1263"/>
      <c r="L84" s="1263"/>
      <c r="M84" s="1263"/>
      <c r="N84" s="1263"/>
    </row>
    <row r="85" spans="1:14" ht="15" hidden="1">
      <c r="A85" s="1269" t="s">
        <v>39</v>
      </c>
      <c r="B85" s="1270"/>
      <c r="C85" s="503">
        <v>1</v>
      </c>
      <c r="D85" s="503">
        <v>2</v>
      </c>
      <c r="E85" s="503">
        <v>3</v>
      </c>
      <c r="F85" s="503">
        <v>4</v>
      </c>
      <c r="G85" s="503">
        <v>5</v>
      </c>
      <c r="H85" s="503">
        <v>6</v>
      </c>
      <c r="I85" s="503">
        <v>7</v>
      </c>
      <c r="J85" s="503">
        <v>8</v>
      </c>
      <c r="K85" s="503">
        <v>9</v>
      </c>
      <c r="L85" s="503">
        <v>10</v>
      </c>
      <c r="M85" s="503">
        <v>11</v>
      </c>
      <c r="N85" s="503">
        <v>12</v>
      </c>
    </row>
    <row r="86" spans="1:14" ht="15" hidden="1">
      <c r="A86" s="504" t="s">
        <v>0</v>
      </c>
      <c r="B86" s="426" t="s">
        <v>130</v>
      </c>
      <c r="C86" s="630">
        <f aca="true" t="shared" si="29" ref="C86:C91">SUM(D86,E86,H86:N86)</f>
        <v>329</v>
      </c>
      <c r="D86" s="631">
        <f aca="true" t="shared" si="30" ref="D86:N86">SUM(D87:D88)</f>
        <v>40</v>
      </c>
      <c r="E86" s="631">
        <f t="shared" si="30"/>
        <v>178</v>
      </c>
      <c r="F86" s="631">
        <f t="shared" si="30"/>
        <v>28</v>
      </c>
      <c r="G86" s="631">
        <f t="shared" si="30"/>
        <v>150</v>
      </c>
      <c r="H86" s="631">
        <f t="shared" si="30"/>
        <v>0</v>
      </c>
      <c r="I86" s="631">
        <f t="shared" si="30"/>
        <v>48</v>
      </c>
      <c r="J86" s="631">
        <f t="shared" si="30"/>
        <v>0</v>
      </c>
      <c r="K86" s="631">
        <f t="shared" si="30"/>
        <v>0</v>
      </c>
      <c r="L86" s="631">
        <f t="shared" si="30"/>
        <v>0</v>
      </c>
      <c r="M86" s="631">
        <f t="shared" si="30"/>
        <v>0</v>
      </c>
      <c r="N86" s="631">
        <f t="shared" si="30"/>
        <v>63</v>
      </c>
    </row>
    <row r="87" spans="1:14" ht="15.75" hidden="1">
      <c r="A87" s="505">
        <v>1</v>
      </c>
      <c r="B87" s="428" t="s">
        <v>131</v>
      </c>
      <c r="C87" s="653">
        <f t="shared" si="29"/>
        <v>169</v>
      </c>
      <c r="D87" s="692">
        <v>29</v>
      </c>
      <c r="E87" s="632">
        <f>SUM(F87:G87)</f>
        <v>132</v>
      </c>
      <c r="F87" s="692">
        <v>16</v>
      </c>
      <c r="G87" s="692">
        <v>116</v>
      </c>
      <c r="H87" s="692">
        <v>0</v>
      </c>
      <c r="I87" s="692">
        <v>6</v>
      </c>
      <c r="J87" s="692">
        <v>0</v>
      </c>
      <c r="K87" s="692">
        <v>0</v>
      </c>
      <c r="L87" s="692">
        <v>0</v>
      </c>
      <c r="M87" s="692">
        <v>0</v>
      </c>
      <c r="N87" s="692">
        <v>2</v>
      </c>
    </row>
    <row r="88" spans="1:14" ht="15.75" hidden="1">
      <c r="A88" s="505">
        <v>2</v>
      </c>
      <c r="B88" s="428" t="s">
        <v>132</v>
      </c>
      <c r="C88" s="653">
        <f t="shared" si="29"/>
        <v>160</v>
      </c>
      <c r="D88" s="692">
        <v>11</v>
      </c>
      <c r="E88" s="632">
        <f>SUM(F88:G88)</f>
        <v>46</v>
      </c>
      <c r="F88" s="692">
        <v>12</v>
      </c>
      <c r="G88" s="692">
        <v>34</v>
      </c>
      <c r="H88" s="692">
        <v>0</v>
      </c>
      <c r="I88" s="692">
        <v>42</v>
      </c>
      <c r="J88" s="692">
        <v>0</v>
      </c>
      <c r="K88" s="692">
        <v>0</v>
      </c>
      <c r="L88" s="692">
        <v>0</v>
      </c>
      <c r="M88" s="692">
        <v>0</v>
      </c>
      <c r="N88" s="692">
        <v>61</v>
      </c>
    </row>
    <row r="89" spans="1:14" ht="15.75" hidden="1">
      <c r="A89" s="506" t="s">
        <v>1</v>
      </c>
      <c r="B89" s="394" t="s">
        <v>133</v>
      </c>
      <c r="C89" s="653">
        <f t="shared" si="29"/>
        <v>2</v>
      </c>
      <c r="D89" s="692">
        <v>0</v>
      </c>
      <c r="E89" s="632">
        <f>SUM(F89:G89)</f>
        <v>2</v>
      </c>
      <c r="F89" s="692">
        <v>0</v>
      </c>
      <c r="G89" s="692">
        <v>2</v>
      </c>
      <c r="H89" s="692">
        <v>0</v>
      </c>
      <c r="I89" s="692">
        <v>0</v>
      </c>
      <c r="J89" s="692">
        <v>0</v>
      </c>
      <c r="K89" s="692">
        <v>0</v>
      </c>
      <c r="L89" s="692">
        <v>0</v>
      </c>
      <c r="M89" s="692">
        <v>0</v>
      </c>
      <c r="N89" s="692">
        <v>0</v>
      </c>
    </row>
    <row r="90" spans="1:14" ht="15.75" hidden="1">
      <c r="A90" s="506" t="s">
        <v>9</v>
      </c>
      <c r="B90" s="394" t="s">
        <v>134</v>
      </c>
      <c r="C90" s="653">
        <f t="shared" si="29"/>
        <v>0</v>
      </c>
      <c r="D90" s="692">
        <v>0</v>
      </c>
      <c r="E90" s="632">
        <f>SUM(F90:G90)</f>
        <v>0</v>
      </c>
      <c r="F90" s="692">
        <v>0</v>
      </c>
      <c r="G90" s="692">
        <v>0</v>
      </c>
      <c r="H90" s="692">
        <v>0</v>
      </c>
      <c r="I90" s="692">
        <v>0</v>
      </c>
      <c r="J90" s="692">
        <v>0</v>
      </c>
      <c r="K90" s="692">
        <v>0</v>
      </c>
      <c r="L90" s="692">
        <v>0</v>
      </c>
      <c r="M90" s="692">
        <v>0</v>
      </c>
      <c r="N90" s="692">
        <v>0</v>
      </c>
    </row>
    <row r="91" spans="1:14" ht="15" hidden="1">
      <c r="A91" s="506" t="s">
        <v>135</v>
      </c>
      <c r="B91" s="394" t="s">
        <v>136</v>
      </c>
      <c r="C91" s="630">
        <f t="shared" si="29"/>
        <v>327</v>
      </c>
      <c r="D91" s="631">
        <f>D86-SUM(D89,D90)</f>
        <v>40</v>
      </c>
      <c r="E91" s="631">
        <f>E86-SUM(E89,E90)</f>
        <v>176</v>
      </c>
      <c r="F91" s="631">
        <f aca="true" t="shared" si="31" ref="F91:M91">F86-SUM(F89,F90)</f>
        <v>28</v>
      </c>
      <c r="G91" s="631">
        <f t="shared" si="31"/>
        <v>148</v>
      </c>
      <c r="H91" s="631">
        <f t="shared" si="31"/>
        <v>0</v>
      </c>
      <c r="I91" s="631">
        <f t="shared" si="31"/>
        <v>48</v>
      </c>
      <c r="J91" s="631">
        <f t="shared" si="31"/>
        <v>0</v>
      </c>
      <c r="K91" s="631">
        <f t="shared" si="31"/>
        <v>0</v>
      </c>
      <c r="L91" s="631">
        <f t="shared" si="31"/>
        <v>0</v>
      </c>
      <c r="M91" s="631">
        <f t="shared" si="31"/>
        <v>0</v>
      </c>
      <c r="N91" s="631">
        <f>N86-SUM(N89,N90)</f>
        <v>63</v>
      </c>
    </row>
    <row r="92" spans="1:14" ht="15" hidden="1">
      <c r="A92" s="506" t="s">
        <v>51</v>
      </c>
      <c r="B92" s="429" t="s">
        <v>137</v>
      </c>
      <c r="C92" s="630">
        <f>C93+C94+C95+C96+C97+C98+C99</f>
        <v>174</v>
      </c>
      <c r="D92" s="630">
        <f>D93+D94+D95+D96+D97+D98+D99</f>
        <v>14</v>
      </c>
      <c r="E92" s="630">
        <f>F92+G92</f>
        <v>54</v>
      </c>
      <c r="F92" s="630">
        <f aca="true" t="shared" si="32" ref="F92:M92">F93+F94+F95+F96+F97+F98+F99</f>
        <v>12</v>
      </c>
      <c r="G92" s="630">
        <f t="shared" si="32"/>
        <v>42</v>
      </c>
      <c r="H92" s="630">
        <f t="shared" si="32"/>
        <v>0</v>
      </c>
      <c r="I92" s="630">
        <f t="shared" si="32"/>
        <v>43</v>
      </c>
      <c r="J92" s="630">
        <f t="shared" si="32"/>
        <v>0</v>
      </c>
      <c r="K92" s="630">
        <f t="shared" si="32"/>
        <v>0</v>
      </c>
      <c r="L92" s="630">
        <f t="shared" si="32"/>
        <v>0</v>
      </c>
      <c r="M92" s="630">
        <f t="shared" si="32"/>
        <v>0</v>
      </c>
      <c r="N92" s="630">
        <f>N93+N94+N95+N96+N97+N98+N99</f>
        <v>63</v>
      </c>
    </row>
    <row r="93" spans="1:14" ht="15.75" hidden="1">
      <c r="A93" s="505" t="s">
        <v>53</v>
      </c>
      <c r="B93" s="428" t="s">
        <v>138</v>
      </c>
      <c r="C93" s="635">
        <f aca="true" t="shared" si="33" ref="C93:C99">SUM(D93,E93,H93:N93)</f>
        <v>141</v>
      </c>
      <c r="D93" s="822">
        <v>5</v>
      </c>
      <c r="E93" s="632">
        <f aca="true" t="shared" si="34" ref="E93:E99">SUM(F93:G93)</f>
        <v>36</v>
      </c>
      <c r="F93" s="692">
        <v>11</v>
      </c>
      <c r="G93" s="692">
        <v>25</v>
      </c>
      <c r="H93" s="692">
        <v>0</v>
      </c>
      <c r="I93" s="692">
        <v>40</v>
      </c>
      <c r="J93" s="692">
        <v>0</v>
      </c>
      <c r="K93" s="692">
        <v>0</v>
      </c>
      <c r="L93" s="692">
        <v>0</v>
      </c>
      <c r="M93" s="692">
        <v>0</v>
      </c>
      <c r="N93" s="692">
        <v>60</v>
      </c>
    </row>
    <row r="94" spans="1:14" ht="15.75" hidden="1">
      <c r="A94" s="505" t="s">
        <v>54</v>
      </c>
      <c r="B94" s="428" t="s">
        <v>139</v>
      </c>
      <c r="C94" s="635">
        <f t="shared" si="33"/>
        <v>8</v>
      </c>
      <c r="D94" s="822">
        <v>0</v>
      </c>
      <c r="E94" s="632">
        <f t="shared" si="34"/>
        <v>7</v>
      </c>
      <c r="F94" s="692">
        <v>0</v>
      </c>
      <c r="G94" s="692">
        <v>7</v>
      </c>
      <c r="H94" s="692">
        <v>0</v>
      </c>
      <c r="I94" s="692">
        <v>1</v>
      </c>
      <c r="J94" s="692">
        <v>0</v>
      </c>
      <c r="K94" s="692">
        <v>0</v>
      </c>
      <c r="L94" s="692">
        <v>0</v>
      </c>
      <c r="M94" s="692">
        <v>0</v>
      </c>
      <c r="N94" s="692">
        <v>0</v>
      </c>
    </row>
    <row r="95" spans="1:14" ht="15.75" hidden="1">
      <c r="A95" s="505" t="s">
        <v>140</v>
      </c>
      <c r="B95" s="428" t="s">
        <v>141</v>
      </c>
      <c r="C95" s="635">
        <f t="shared" si="33"/>
        <v>25</v>
      </c>
      <c r="D95" s="822">
        <v>9</v>
      </c>
      <c r="E95" s="632">
        <f t="shared" si="34"/>
        <v>11</v>
      </c>
      <c r="F95" s="692">
        <v>1</v>
      </c>
      <c r="G95" s="692">
        <v>10</v>
      </c>
      <c r="H95" s="692">
        <v>0</v>
      </c>
      <c r="I95" s="692">
        <v>2</v>
      </c>
      <c r="J95" s="692">
        <v>0</v>
      </c>
      <c r="K95" s="692">
        <v>0</v>
      </c>
      <c r="L95" s="692">
        <v>0</v>
      </c>
      <c r="M95" s="692">
        <v>0</v>
      </c>
      <c r="N95" s="692">
        <v>3</v>
      </c>
    </row>
    <row r="96" spans="1:14" ht="15.75" hidden="1">
      <c r="A96" s="505" t="s">
        <v>142</v>
      </c>
      <c r="B96" s="428" t="s">
        <v>143</v>
      </c>
      <c r="C96" s="636">
        <f t="shared" si="33"/>
        <v>0</v>
      </c>
      <c r="D96" s="822">
        <v>0</v>
      </c>
      <c r="E96" s="637">
        <f t="shared" si="34"/>
        <v>0</v>
      </c>
      <c r="F96" s="692">
        <v>0</v>
      </c>
      <c r="G96" s="692">
        <v>0</v>
      </c>
      <c r="H96" s="692">
        <v>0</v>
      </c>
      <c r="I96" s="692">
        <v>0</v>
      </c>
      <c r="J96" s="692">
        <v>0</v>
      </c>
      <c r="K96" s="692">
        <v>0</v>
      </c>
      <c r="L96" s="692">
        <v>0</v>
      </c>
      <c r="M96" s="692">
        <v>0</v>
      </c>
      <c r="N96" s="692">
        <v>0</v>
      </c>
    </row>
    <row r="97" spans="1:14" ht="15.75" hidden="1">
      <c r="A97" s="505" t="s">
        <v>144</v>
      </c>
      <c r="B97" s="428" t="s">
        <v>145</v>
      </c>
      <c r="C97" s="635">
        <f t="shared" si="33"/>
        <v>0</v>
      </c>
      <c r="D97" s="822">
        <v>0</v>
      </c>
      <c r="E97" s="632">
        <f t="shared" si="34"/>
        <v>0</v>
      </c>
      <c r="F97" s="692">
        <v>0</v>
      </c>
      <c r="G97" s="692">
        <v>0</v>
      </c>
      <c r="H97" s="692">
        <v>0</v>
      </c>
      <c r="I97" s="692">
        <v>0</v>
      </c>
      <c r="J97" s="692">
        <v>0</v>
      </c>
      <c r="K97" s="692">
        <v>0</v>
      </c>
      <c r="L97" s="692">
        <v>0</v>
      </c>
      <c r="M97" s="692">
        <v>0</v>
      </c>
      <c r="N97" s="692">
        <v>0</v>
      </c>
    </row>
    <row r="98" spans="1:14" ht="29.25" customHeight="1" hidden="1">
      <c r="A98" s="505" t="s">
        <v>146</v>
      </c>
      <c r="B98" s="430" t="s">
        <v>147</v>
      </c>
      <c r="C98" s="635">
        <f t="shared" si="33"/>
        <v>0</v>
      </c>
      <c r="D98" s="822">
        <v>0</v>
      </c>
      <c r="E98" s="632">
        <f t="shared" si="34"/>
        <v>0</v>
      </c>
      <c r="F98" s="692">
        <v>0</v>
      </c>
      <c r="G98" s="692">
        <v>0</v>
      </c>
      <c r="H98" s="692">
        <v>0</v>
      </c>
      <c r="I98" s="692">
        <v>0</v>
      </c>
      <c r="J98" s="692">
        <v>0</v>
      </c>
      <c r="K98" s="692">
        <v>0</v>
      </c>
      <c r="L98" s="692">
        <v>0</v>
      </c>
      <c r="M98" s="692">
        <v>0</v>
      </c>
      <c r="N98" s="692">
        <v>0</v>
      </c>
    </row>
    <row r="99" spans="1:14" ht="27.75" customHeight="1" hidden="1">
      <c r="A99" s="505" t="s">
        <v>148</v>
      </c>
      <c r="B99" s="428" t="s">
        <v>149</v>
      </c>
      <c r="C99" s="635">
        <f t="shared" si="33"/>
        <v>0</v>
      </c>
      <c r="D99" s="822">
        <v>0</v>
      </c>
      <c r="E99" s="632">
        <f t="shared" si="34"/>
        <v>0</v>
      </c>
      <c r="F99" s="692">
        <v>0</v>
      </c>
      <c r="G99" s="692">
        <v>0</v>
      </c>
      <c r="H99" s="692">
        <v>0</v>
      </c>
      <c r="I99" s="692">
        <v>0</v>
      </c>
      <c r="J99" s="692">
        <v>0</v>
      </c>
      <c r="K99" s="692">
        <v>0</v>
      </c>
      <c r="L99" s="692">
        <v>0</v>
      </c>
      <c r="M99" s="692">
        <v>0</v>
      </c>
      <c r="N99" s="692">
        <v>0</v>
      </c>
    </row>
    <row r="100" spans="1:14" ht="22.5" customHeight="1" hidden="1">
      <c r="A100" s="506" t="s">
        <v>52</v>
      </c>
      <c r="B100" s="394" t="s">
        <v>150</v>
      </c>
      <c r="C100" s="630">
        <f>SUM(D100,E100,H100:N100)</f>
        <v>153</v>
      </c>
      <c r="D100" s="630">
        <f>D91-D92</f>
        <v>26</v>
      </c>
      <c r="E100" s="631">
        <f>SUM(F100:G100)</f>
        <v>122</v>
      </c>
      <c r="F100" s="630">
        <f aca="true" t="shared" si="35" ref="F100:N100">F91-F92</f>
        <v>16</v>
      </c>
      <c r="G100" s="630">
        <f t="shared" si="35"/>
        <v>106</v>
      </c>
      <c r="H100" s="630">
        <f t="shared" si="35"/>
        <v>0</v>
      </c>
      <c r="I100" s="630">
        <f t="shared" si="35"/>
        <v>5</v>
      </c>
      <c r="J100" s="630">
        <f t="shared" si="35"/>
        <v>0</v>
      </c>
      <c r="K100" s="630">
        <f t="shared" si="35"/>
        <v>0</v>
      </c>
      <c r="L100" s="630">
        <f t="shared" si="35"/>
        <v>0</v>
      </c>
      <c r="M100" s="630">
        <f t="shared" si="35"/>
        <v>0</v>
      </c>
      <c r="N100" s="630">
        <f t="shared" si="35"/>
        <v>0</v>
      </c>
    </row>
    <row r="101" spans="1:14" ht="25.5" hidden="1">
      <c r="A101" s="506" t="s">
        <v>538</v>
      </c>
      <c r="B101" s="431" t="s">
        <v>151</v>
      </c>
      <c r="C101" s="412">
        <f>(C93+C94)/C92</f>
        <v>0.8563218390804598</v>
      </c>
      <c r="D101" s="412">
        <f aca="true" t="shared" si="36" ref="D101:N101">(D93+C94)/D92</f>
        <v>0.9285714285714286</v>
      </c>
      <c r="E101" s="412">
        <f t="shared" si="36"/>
        <v>0.6666666666666666</v>
      </c>
      <c r="F101" s="412">
        <f t="shared" si="36"/>
        <v>1.5</v>
      </c>
      <c r="G101" s="412">
        <f t="shared" si="36"/>
        <v>0.5952380952380952</v>
      </c>
      <c r="H101" s="412" t="e">
        <f t="shared" si="36"/>
        <v>#DIV/0!</v>
      </c>
      <c r="I101" s="412">
        <f t="shared" si="36"/>
        <v>0.9302325581395349</v>
      </c>
      <c r="J101" s="412" t="e">
        <f t="shared" si="36"/>
        <v>#DIV/0!</v>
      </c>
      <c r="K101" s="412" t="e">
        <f t="shared" si="36"/>
        <v>#DIV/0!</v>
      </c>
      <c r="L101" s="412" t="e">
        <f t="shared" si="36"/>
        <v>#DIV/0!</v>
      </c>
      <c r="M101" s="412" t="e">
        <f t="shared" si="36"/>
        <v>#DIV/0!</v>
      </c>
      <c r="N101" s="412">
        <f t="shared" si="36"/>
        <v>0.9523809523809523</v>
      </c>
    </row>
    <row r="102" ht="2.25" customHeight="1" hidden="1"/>
    <row r="103" ht="0.75" customHeight="1" hidden="1">
      <c r="B103" s="718" t="s">
        <v>691</v>
      </c>
    </row>
    <row r="104" spans="1:14" ht="15" customHeight="1" hidden="1">
      <c r="A104" s="1272" t="s">
        <v>68</v>
      </c>
      <c r="B104" s="1273"/>
      <c r="C104" s="1286" t="s">
        <v>37</v>
      </c>
      <c r="D104" s="1278" t="s">
        <v>335</v>
      </c>
      <c r="E104" s="1282"/>
      <c r="F104" s="1282"/>
      <c r="G104" s="1282"/>
      <c r="H104" s="1282"/>
      <c r="I104" s="1282"/>
      <c r="J104" s="1282"/>
      <c r="K104" s="1282"/>
      <c r="L104" s="1282"/>
      <c r="M104" s="1282"/>
      <c r="N104" s="1283"/>
    </row>
    <row r="105" spans="1:14" ht="15" customHeight="1" hidden="1">
      <c r="A105" s="1274"/>
      <c r="B105" s="1275"/>
      <c r="C105" s="1287"/>
      <c r="D105" s="1289" t="s">
        <v>119</v>
      </c>
      <c r="E105" s="1264" t="s">
        <v>120</v>
      </c>
      <c r="F105" s="1290"/>
      <c r="G105" s="1265"/>
      <c r="H105" s="1271" t="s">
        <v>121</v>
      </c>
      <c r="I105" s="1271" t="s">
        <v>122</v>
      </c>
      <c r="J105" s="1271" t="s">
        <v>123</v>
      </c>
      <c r="K105" s="1271" t="s">
        <v>124</v>
      </c>
      <c r="L105" s="1271" t="s">
        <v>125</v>
      </c>
      <c r="M105" s="1271" t="s">
        <v>126</v>
      </c>
      <c r="N105" s="1271" t="s">
        <v>127</v>
      </c>
    </row>
    <row r="106" spans="1:14" ht="18.75" customHeight="1" hidden="1">
      <c r="A106" s="1274"/>
      <c r="B106" s="1275"/>
      <c r="C106" s="1287"/>
      <c r="D106" s="1284"/>
      <c r="E106" s="1271" t="s">
        <v>36</v>
      </c>
      <c r="F106" s="1264" t="s">
        <v>7</v>
      </c>
      <c r="G106" s="1265"/>
      <c r="H106" s="1262"/>
      <c r="I106" s="1262"/>
      <c r="J106" s="1262"/>
      <c r="K106" s="1262"/>
      <c r="L106" s="1262"/>
      <c r="M106" s="1262"/>
      <c r="N106" s="1262"/>
    </row>
    <row r="107" spans="1:14" ht="15" hidden="1">
      <c r="A107" s="1276"/>
      <c r="B107" s="1277"/>
      <c r="C107" s="1288"/>
      <c r="D107" s="1285"/>
      <c r="E107" s="1263"/>
      <c r="F107" s="557" t="s">
        <v>199</v>
      </c>
      <c r="G107" s="558" t="s">
        <v>200</v>
      </c>
      <c r="H107" s="1263"/>
      <c r="I107" s="1263"/>
      <c r="J107" s="1263"/>
      <c r="K107" s="1263"/>
      <c r="L107" s="1263"/>
      <c r="M107" s="1263"/>
      <c r="N107" s="1263"/>
    </row>
    <row r="108" spans="1:14" ht="15" hidden="1">
      <c r="A108" s="1269" t="s">
        <v>39</v>
      </c>
      <c r="B108" s="1270"/>
      <c r="C108" s="503">
        <v>1</v>
      </c>
      <c r="D108" s="503">
        <v>2</v>
      </c>
      <c r="E108" s="503">
        <v>3</v>
      </c>
      <c r="F108" s="503">
        <v>4</v>
      </c>
      <c r="G108" s="503">
        <v>5</v>
      </c>
      <c r="H108" s="503">
        <v>6</v>
      </c>
      <c r="I108" s="503">
        <v>7</v>
      </c>
      <c r="J108" s="503">
        <v>8</v>
      </c>
      <c r="K108" s="503">
        <v>9</v>
      </c>
      <c r="L108" s="503">
        <v>10</v>
      </c>
      <c r="M108" s="503">
        <v>11</v>
      </c>
      <c r="N108" s="503">
        <v>12</v>
      </c>
    </row>
    <row r="109" spans="1:14" ht="15" hidden="1">
      <c r="A109" s="504" t="s">
        <v>0</v>
      </c>
      <c r="B109" s="426" t="s">
        <v>130</v>
      </c>
      <c r="C109" s="630">
        <f aca="true" t="shared" si="37" ref="C109:C114">SUM(D109,E109,H109:N109)</f>
        <v>582</v>
      </c>
      <c r="D109" s="631">
        <f aca="true" t="shared" si="38" ref="D109:N109">SUM(D110:D111)</f>
        <v>69</v>
      </c>
      <c r="E109" s="631">
        <f t="shared" si="38"/>
        <v>350</v>
      </c>
      <c r="F109" s="631">
        <f t="shared" si="38"/>
        <v>23</v>
      </c>
      <c r="G109" s="631">
        <f t="shared" si="38"/>
        <v>327</v>
      </c>
      <c r="H109" s="631">
        <f t="shared" si="38"/>
        <v>0</v>
      </c>
      <c r="I109" s="631">
        <f t="shared" si="38"/>
        <v>163</v>
      </c>
      <c r="J109" s="631">
        <f t="shared" si="38"/>
        <v>0</v>
      </c>
      <c r="K109" s="631">
        <f t="shared" si="38"/>
        <v>0</v>
      </c>
      <c r="L109" s="631">
        <f t="shared" si="38"/>
        <v>0</v>
      </c>
      <c r="M109" s="631">
        <f t="shared" si="38"/>
        <v>0</v>
      </c>
      <c r="N109" s="631">
        <f t="shared" si="38"/>
        <v>0</v>
      </c>
    </row>
    <row r="110" spans="1:14" ht="15.75" hidden="1">
      <c r="A110" s="505">
        <v>1</v>
      </c>
      <c r="B110" s="428" t="s">
        <v>131</v>
      </c>
      <c r="C110" s="653">
        <f t="shared" si="37"/>
        <v>326</v>
      </c>
      <c r="D110" s="654">
        <v>33</v>
      </c>
      <c r="E110" s="632">
        <f>SUM(F110:G110)</f>
        <v>276</v>
      </c>
      <c r="F110" s="405">
        <v>17</v>
      </c>
      <c r="G110" s="405">
        <v>259</v>
      </c>
      <c r="H110" s="405">
        <v>0</v>
      </c>
      <c r="I110" s="405">
        <v>17</v>
      </c>
      <c r="J110" s="405">
        <v>0</v>
      </c>
      <c r="K110" s="405">
        <v>0</v>
      </c>
      <c r="L110" s="692"/>
      <c r="M110" s="692"/>
      <c r="N110" s="692"/>
    </row>
    <row r="111" spans="1:14" ht="15.75" hidden="1">
      <c r="A111" s="505">
        <v>2</v>
      </c>
      <c r="B111" s="428" t="s">
        <v>132</v>
      </c>
      <c r="C111" s="653">
        <f t="shared" si="37"/>
        <v>256</v>
      </c>
      <c r="D111" s="654">
        <v>36</v>
      </c>
      <c r="E111" s="632">
        <f>SUM(F111:G111)</f>
        <v>74</v>
      </c>
      <c r="F111" s="405">
        <v>6</v>
      </c>
      <c r="G111" s="405">
        <v>68</v>
      </c>
      <c r="H111" s="405">
        <v>0</v>
      </c>
      <c r="I111" s="405">
        <v>146</v>
      </c>
      <c r="J111" s="405">
        <v>0</v>
      </c>
      <c r="K111" s="405">
        <v>0</v>
      </c>
      <c r="L111" s="692"/>
      <c r="M111" s="692"/>
      <c r="N111" s="692"/>
    </row>
    <row r="112" spans="1:14" ht="15.75" hidden="1">
      <c r="A112" s="506" t="s">
        <v>1</v>
      </c>
      <c r="B112" s="394" t="s">
        <v>133</v>
      </c>
      <c r="C112" s="653">
        <f t="shared" si="37"/>
        <v>0</v>
      </c>
      <c r="D112" s="692"/>
      <c r="E112" s="632">
        <f>SUM(F112:G112)</f>
        <v>0</v>
      </c>
      <c r="F112" s="692"/>
      <c r="G112" s="692"/>
      <c r="H112" s="692"/>
      <c r="I112" s="692"/>
      <c r="J112" s="692"/>
      <c r="K112" s="692"/>
      <c r="L112" s="692"/>
      <c r="M112" s="692"/>
      <c r="N112" s="692"/>
    </row>
    <row r="113" spans="1:14" ht="15.75" hidden="1">
      <c r="A113" s="506" t="s">
        <v>9</v>
      </c>
      <c r="B113" s="394" t="s">
        <v>134</v>
      </c>
      <c r="C113" s="653">
        <f t="shared" si="37"/>
        <v>0</v>
      </c>
      <c r="D113" s="692">
        <v>0</v>
      </c>
      <c r="E113" s="632">
        <f>SUM(F113:G113)</f>
        <v>0</v>
      </c>
      <c r="F113" s="692">
        <v>0</v>
      </c>
      <c r="G113" s="692">
        <v>0</v>
      </c>
      <c r="H113" s="692">
        <v>0</v>
      </c>
      <c r="I113" s="692">
        <v>0</v>
      </c>
      <c r="J113" s="692">
        <v>0</v>
      </c>
      <c r="K113" s="692">
        <v>0</v>
      </c>
      <c r="L113" s="692">
        <v>0</v>
      </c>
      <c r="M113" s="692">
        <v>0</v>
      </c>
      <c r="N113" s="692">
        <v>0</v>
      </c>
    </row>
    <row r="114" spans="1:14" ht="15" hidden="1">
      <c r="A114" s="506" t="s">
        <v>135</v>
      </c>
      <c r="B114" s="394" t="s">
        <v>136</v>
      </c>
      <c r="C114" s="630">
        <f t="shared" si="37"/>
        <v>582</v>
      </c>
      <c r="D114" s="631">
        <f>D109-SUM(D112,D113)</f>
        <v>69</v>
      </c>
      <c r="E114" s="631">
        <f>E109-SUM(E112,E113)</f>
        <v>350</v>
      </c>
      <c r="F114" s="631">
        <f aca="true" t="shared" si="39" ref="F114:M114">F109-SUM(F112,F113)</f>
        <v>23</v>
      </c>
      <c r="G114" s="631">
        <f t="shared" si="39"/>
        <v>327</v>
      </c>
      <c r="H114" s="631">
        <f t="shared" si="39"/>
        <v>0</v>
      </c>
      <c r="I114" s="631">
        <f t="shared" si="39"/>
        <v>163</v>
      </c>
      <c r="J114" s="631">
        <f t="shared" si="39"/>
        <v>0</v>
      </c>
      <c r="K114" s="631">
        <f t="shared" si="39"/>
        <v>0</v>
      </c>
      <c r="L114" s="631">
        <f t="shared" si="39"/>
        <v>0</v>
      </c>
      <c r="M114" s="631">
        <f t="shared" si="39"/>
        <v>0</v>
      </c>
      <c r="N114" s="631">
        <f>N109-SUM(N112,N113)</f>
        <v>0</v>
      </c>
    </row>
    <row r="115" spans="1:14" ht="15" hidden="1">
      <c r="A115" s="506" t="s">
        <v>51</v>
      </c>
      <c r="B115" s="429" t="s">
        <v>137</v>
      </c>
      <c r="C115" s="630">
        <f>C116+C117+C118+C119+C120+C121+C122</f>
        <v>317</v>
      </c>
      <c r="D115" s="630">
        <f>D116+D117+D118+D119+D120+D121+D122</f>
        <v>51</v>
      </c>
      <c r="E115" s="630">
        <f>F115+G115</f>
        <v>110</v>
      </c>
      <c r="F115" s="630">
        <f aca="true" t="shared" si="40" ref="F115:M115">F116+F117+F118+F119+F120+F121+F122</f>
        <v>9</v>
      </c>
      <c r="G115" s="630">
        <f t="shared" si="40"/>
        <v>101</v>
      </c>
      <c r="H115" s="630">
        <f t="shared" si="40"/>
        <v>0</v>
      </c>
      <c r="I115" s="630">
        <f t="shared" si="40"/>
        <v>156</v>
      </c>
      <c r="J115" s="630">
        <f t="shared" si="40"/>
        <v>0</v>
      </c>
      <c r="K115" s="630">
        <f t="shared" si="40"/>
        <v>0</v>
      </c>
      <c r="L115" s="630">
        <f t="shared" si="40"/>
        <v>0</v>
      </c>
      <c r="M115" s="630">
        <f t="shared" si="40"/>
        <v>0</v>
      </c>
      <c r="N115" s="630">
        <f>N116+N117+N118+N119+N120+N121+N122</f>
        <v>0</v>
      </c>
    </row>
    <row r="116" spans="1:14" ht="15.75" hidden="1">
      <c r="A116" s="505" t="s">
        <v>53</v>
      </c>
      <c r="B116" s="428" t="s">
        <v>138</v>
      </c>
      <c r="C116" s="635">
        <f aca="true" t="shared" si="41" ref="C116:C122">SUM(D116,E116,H116:N116)</f>
        <v>248</v>
      </c>
      <c r="D116" s="654">
        <v>33</v>
      </c>
      <c r="E116" s="632">
        <f aca="true" t="shared" si="42" ref="E116:E122">SUM(F116:G116)</f>
        <v>65</v>
      </c>
      <c r="F116" s="405">
        <v>5</v>
      </c>
      <c r="G116" s="405">
        <v>60</v>
      </c>
      <c r="H116" s="405">
        <v>0</v>
      </c>
      <c r="I116" s="405">
        <v>150</v>
      </c>
      <c r="J116" s="405">
        <v>0</v>
      </c>
      <c r="K116" s="405">
        <v>0</v>
      </c>
      <c r="L116" s="405">
        <v>0</v>
      </c>
      <c r="M116" s="692"/>
      <c r="N116" s="692"/>
    </row>
    <row r="117" spans="1:14" ht="15.75" hidden="1">
      <c r="A117" s="505" t="s">
        <v>54</v>
      </c>
      <c r="B117" s="428" t="s">
        <v>139</v>
      </c>
      <c r="C117" s="635">
        <f t="shared" si="41"/>
        <v>0</v>
      </c>
      <c r="D117" s="654">
        <v>0</v>
      </c>
      <c r="E117" s="632">
        <f t="shared" si="42"/>
        <v>0</v>
      </c>
      <c r="F117" s="405">
        <v>0</v>
      </c>
      <c r="G117" s="405">
        <v>0</v>
      </c>
      <c r="H117" s="405">
        <v>0</v>
      </c>
      <c r="I117" s="405">
        <v>0</v>
      </c>
      <c r="J117" s="405">
        <v>0</v>
      </c>
      <c r="K117" s="405">
        <v>0</v>
      </c>
      <c r="L117" s="405">
        <v>0</v>
      </c>
      <c r="M117" s="692"/>
      <c r="N117" s="692"/>
    </row>
    <row r="118" spans="1:14" ht="17.25" customHeight="1" hidden="1">
      <c r="A118" s="505" t="s">
        <v>140</v>
      </c>
      <c r="B118" s="428" t="s">
        <v>141</v>
      </c>
      <c r="C118" s="635">
        <f t="shared" si="41"/>
        <v>60</v>
      </c>
      <c r="D118" s="654">
        <v>13</v>
      </c>
      <c r="E118" s="632">
        <f t="shared" si="42"/>
        <v>41</v>
      </c>
      <c r="F118" s="405">
        <v>4</v>
      </c>
      <c r="G118" s="405">
        <v>37</v>
      </c>
      <c r="H118" s="405">
        <v>0</v>
      </c>
      <c r="I118" s="405">
        <v>6</v>
      </c>
      <c r="J118" s="405">
        <v>0</v>
      </c>
      <c r="K118" s="405">
        <v>0</v>
      </c>
      <c r="L118" s="405">
        <v>0</v>
      </c>
      <c r="M118" s="692">
        <v>0</v>
      </c>
      <c r="N118" s="692"/>
    </row>
    <row r="119" spans="1:14" ht="15.75" hidden="1">
      <c r="A119" s="505" t="s">
        <v>142</v>
      </c>
      <c r="B119" s="428" t="s">
        <v>143</v>
      </c>
      <c r="C119" s="636">
        <f t="shared" si="41"/>
        <v>4</v>
      </c>
      <c r="D119" s="654">
        <v>4</v>
      </c>
      <c r="E119" s="637">
        <f t="shared" si="42"/>
        <v>0</v>
      </c>
      <c r="F119" s="405">
        <v>0</v>
      </c>
      <c r="G119" s="405">
        <v>0</v>
      </c>
      <c r="H119" s="405">
        <v>0</v>
      </c>
      <c r="I119" s="405">
        <v>0</v>
      </c>
      <c r="J119" s="405">
        <v>0</v>
      </c>
      <c r="K119" s="405">
        <v>0</v>
      </c>
      <c r="L119" s="405">
        <v>0</v>
      </c>
      <c r="M119" s="692">
        <v>0</v>
      </c>
      <c r="N119" s="692">
        <v>0</v>
      </c>
    </row>
    <row r="120" spans="1:14" ht="15.75" hidden="1">
      <c r="A120" s="505" t="s">
        <v>144</v>
      </c>
      <c r="B120" s="428" t="s">
        <v>145</v>
      </c>
      <c r="C120" s="635">
        <f t="shared" si="41"/>
        <v>0</v>
      </c>
      <c r="D120" s="654">
        <v>0</v>
      </c>
      <c r="E120" s="632">
        <f t="shared" si="42"/>
        <v>0</v>
      </c>
      <c r="F120" s="405">
        <v>0</v>
      </c>
      <c r="G120" s="405">
        <v>0</v>
      </c>
      <c r="H120" s="405">
        <v>0</v>
      </c>
      <c r="I120" s="405">
        <v>0</v>
      </c>
      <c r="J120" s="405">
        <v>0</v>
      </c>
      <c r="K120" s="405">
        <v>0</v>
      </c>
      <c r="L120" s="405">
        <v>0</v>
      </c>
      <c r="M120" s="692">
        <v>0</v>
      </c>
      <c r="N120" s="692">
        <v>0</v>
      </c>
    </row>
    <row r="121" spans="1:14" ht="25.5" hidden="1">
      <c r="A121" s="505" t="s">
        <v>146</v>
      </c>
      <c r="B121" s="430" t="s">
        <v>147</v>
      </c>
      <c r="C121" s="635">
        <f t="shared" si="41"/>
        <v>0</v>
      </c>
      <c r="D121" s="654">
        <v>0</v>
      </c>
      <c r="E121" s="632">
        <f t="shared" si="42"/>
        <v>0</v>
      </c>
      <c r="F121" s="405">
        <v>0</v>
      </c>
      <c r="G121" s="405">
        <v>0</v>
      </c>
      <c r="H121" s="405">
        <v>0</v>
      </c>
      <c r="I121" s="405">
        <v>0</v>
      </c>
      <c r="J121" s="405">
        <v>0</v>
      </c>
      <c r="K121" s="405">
        <v>0</v>
      </c>
      <c r="L121" s="405">
        <v>0</v>
      </c>
      <c r="M121" s="692">
        <v>0</v>
      </c>
      <c r="N121" s="692">
        <v>0</v>
      </c>
    </row>
    <row r="122" spans="1:14" ht="15.75" hidden="1">
      <c r="A122" s="505" t="s">
        <v>148</v>
      </c>
      <c r="B122" s="428" t="s">
        <v>149</v>
      </c>
      <c r="C122" s="635">
        <f t="shared" si="41"/>
        <v>5</v>
      </c>
      <c r="D122" s="654">
        <v>1</v>
      </c>
      <c r="E122" s="632">
        <f t="shared" si="42"/>
        <v>4</v>
      </c>
      <c r="F122" s="405">
        <v>0</v>
      </c>
      <c r="G122" s="405">
        <v>4</v>
      </c>
      <c r="H122" s="405">
        <v>0</v>
      </c>
      <c r="I122" s="405">
        <v>0</v>
      </c>
      <c r="J122" s="405">
        <v>0</v>
      </c>
      <c r="K122" s="405">
        <v>0</v>
      </c>
      <c r="L122" s="405">
        <v>0</v>
      </c>
      <c r="M122" s="692">
        <v>0</v>
      </c>
      <c r="N122" s="692">
        <v>0</v>
      </c>
    </row>
    <row r="123" spans="1:14" ht="20.25" customHeight="1" hidden="1">
      <c r="A123" s="506" t="s">
        <v>52</v>
      </c>
      <c r="B123" s="394" t="s">
        <v>150</v>
      </c>
      <c r="C123" s="630">
        <f>SUM(D123,E123,H123:N123)</f>
        <v>265</v>
      </c>
      <c r="D123" s="630">
        <f>D114-D115</f>
        <v>18</v>
      </c>
      <c r="E123" s="631">
        <f>SUM(F123:G123)</f>
        <v>240</v>
      </c>
      <c r="F123" s="630">
        <f aca="true" t="shared" si="43" ref="F123:N123">F114-F115</f>
        <v>14</v>
      </c>
      <c r="G123" s="630">
        <f t="shared" si="43"/>
        <v>226</v>
      </c>
      <c r="H123" s="630">
        <f t="shared" si="43"/>
        <v>0</v>
      </c>
      <c r="I123" s="630">
        <f t="shared" si="43"/>
        <v>7</v>
      </c>
      <c r="J123" s="630">
        <f t="shared" si="43"/>
        <v>0</v>
      </c>
      <c r="K123" s="630">
        <f t="shared" si="43"/>
        <v>0</v>
      </c>
      <c r="L123" s="630">
        <f t="shared" si="43"/>
        <v>0</v>
      </c>
      <c r="M123" s="630">
        <f t="shared" si="43"/>
        <v>0</v>
      </c>
      <c r="N123" s="630">
        <f t="shared" si="43"/>
        <v>0</v>
      </c>
    </row>
    <row r="124" spans="1:14" ht="21.75" customHeight="1" hidden="1">
      <c r="A124" s="506" t="s">
        <v>538</v>
      </c>
      <c r="B124" s="431" t="s">
        <v>151</v>
      </c>
      <c r="C124" s="412">
        <f>(C116+C117)/C115</f>
        <v>0.7823343848580442</v>
      </c>
      <c r="D124" s="412">
        <f aca="true" t="shared" si="44" ref="D124:N124">(D116+C117)/D115</f>
        <v>0.6470588235294118</v>
      </c>
      <c r="E124" s="412">
        <f t="shared" si="44"/>
        <v>0.5909090909090909</v>
      </c>
      <c r="F124" s="412">
        <f t="shared" si="44"/>
        <v>0.5555555555555556</v>
      </c>
      <c r="G124" s="412">
        <f t="shared" si="44"/>
        <v>0.594059405940594</v>
      </c>
      <c r="H124" s="412" t="e">
        <f t="shared" si="44"/>
        <v>#DIV/0!</v>
      </c>
      <c r="I124" s="412">
        <f t="shared" si="44"/>
        <v>0.9615384615384616</v>
      </c>
      <c r="J124" s="412" t="e">
        <f t="shared" si="44"/>
        <v>#DIV/0!</v>
      </c>
      <c r="K124" s="412" t="e">
        <f t="shared" si="44"/>
        <v>#DIV/0!</v>
      </c>
      <c r="L124" s="412" t="e">
        <f t="shared" si="44"/>
        <v>#DIV/0!</v>
      </c>
      <c r="M124" s="412" t="e">
        <f t="shared" si="44"/>
        <v>#DIV/0!</v>
      </c>
      <c r="N124" s="412" t="e">
        <f t="shared" si="44"/>
        <v>#DIV/0!</v>
      </c>
    </row>
    <row r="125" ht="15" hidden="1"/>
    <row r="126" ht="15" hidden="1">
      <c r="B126" s="388" t="s">
        <v>692</v>
      </c>
    </row>
    <row r="127" spans="1:14" ht="15" customHeight="1" hidden="1">
      <c r="A127" s="1272" t="s">
        <v>68</v>
      </c>
      <c r="B127" s="1273"/>
      <c r="C127" s="1286" t="s">
        <v>37</v>
      </c>
      <c r="D127" s="1278" t="s">
        <v>335</v>
      </c>
      <c r="E127" s="1282"/>
      <c r="F127" s="1282"/>
      <c r="G127" s="1282"/>
      <c r="H127" s="1282"/>
      <c r="I127" s="1282"/>
      <c r="J127" s="1282"/>
      <c r="K127" s="1282"/>
      <c r="L127" s="1282"/>
      <c r="M127" s="1282"/>
      <c r="N127" s="1283"/>
    </row>
    <row r="128" spans="1:14" ht="15" customHeight="1" hidden="1">
      <c r="A128" s="1274"/>
      <c r="B128" s="1275"/>
      <c r="C128" s="1287"/>
      <c r="D128" s="1289" t="s">
        <v>119</v>
      </c>
      <c r="E128" s="1264" t="s">
        <v>120</v>
      </c>
      <c r="F128" s="1290"/>
      <c r="G128" s="1265"/>
      <c r="H128" s="1271" t="s">
        <v>121</v>
      </c>
      <c r="I128" s="1271" t="s">
        <v>122</v>
      </c>
      <c r="J128" s="1271" t="s">
        <v>123</v>
      </c>
      <c r="K128" s="1271" t="s">
        <v>124</v>
      </c>
      <c r="L128" s="1271" t="s">
        <v>125</v>
      </c>
      <c r="M128" s="1271" t="s">
        <v>126</v>
      </c>
      <c r="N128" s="1271" t="s">
        <v>127</v>
      </c>
    </row>
    <row r="129" spans="1:14" ht="15" hidden="1">
      <c r="A129" s="1274"/>
      <c r="B129" s="1275"/>
      <c r="C129" s="1287"/>
      <c r="D129" s="1284"/>
      <c r="E129" s="1271" t="s">
        <v>36</v>
      </c>
      <c r="F129" s="1264" t="s">
        <v>7</v>
      </c>
      <c r="G129" s="1265"/>
      <c r="H129" s="1262"/>
      <c r="I129" s="1262"/>
      <c r="J129" s="1262"/>
      <c r="K129" s="1262"/>
      <c r="L129" s="1262"/>
      <c r="M129" s="1262"/>
      <c r="N129" s="1262"/>
    </row>
    <row r="130" spans="1:14" ht="15" hidden="1">
      <c r="A130" s="1276"/>
      <c r="B130" s="1277"/>
      <c r="C130" s="1288"/>
      <c r="D130" s="1285"/>
      <c r="E130" s="1263"/>
      <c r="F130" s="557" t="s">
        <v>199</v>
      </c>
      <c r="G130" s="558" t="s">
        <v>200</v>
      </c>
      <c r="H130" s="1263"/>
      <c r="I130" s="1263"/>
      <c r="J130" s="1263"/>
      <c r="K130" s="1263"/>
      <c r="L130" s="1263"/>
      <c r="M130" s="1263"/>
      <c r="N130" s="1263"/>
    </row>
    <row r="131" spans="1:14" ht="15" hidden="1">
      <c r="A131" s="1269" t="s">
        <v>39</v>
      </c>
      <c r="B131" s="1270"/>
      <c r="C131" s="503">
        <v>1</v>
      </c>
      <c r="D131" s="503">
        <v>2</v>
      </c>
      <c r="E131" s="503">
        <v>3</v>
      </c>
      <c r="F131" s="503">
        <v>4</v>
      </c>
      <c r="G131" s="503">
        <v>5</v>
      </c>
      <c r="H131" s="503">
        <v>6</v>
      </c>
      <c r="I131" s="503">
        <v>7</v>
      </c>
      <c r="J131" s="503">
        <v>8</v>
      </c>
      <c r="K131" s="503">
        <v>9</v>
      </c>
      <c r="L131" s="503">
        <v>10</v>
      </c>
      <c r="M131" s="503">
        <v>11</v>
      </c>
      <c r="N131" s="503">
        <v>12</v>
      </c>
    </row>
    <row r="132" spans="1:14" ht="15" hidden="1">
      <c r="A132" s="504" t="s">
        <v>0</v>
      </c>
      <c r="B132" s="426" t="s">
        <v>130</v>
      </c>
      <c r="C132" s="630">
        <f aca="true" t="shared" si="45" ref="C132:C137">SUM(D132,E132,H132:N132)</f>
        <v>196</v>
      </c>
      <c r="D132" s="631">
        <f aca="true" t="shared" si="46" ref="D132:N132">SUM(D133:D134)</f>
        <v>36</v>
      </c>
      <c r="E132" s="631">
        <f t="shared" si="46"/>
        <v>97</v>
      </c>
      <c r="F132" s="631">
        <f t="shared" si="46"/>
        <v>10</v>
      </c>
      <c r="G132" s="631">
        <f t="shared" si="46"/>
        <v>87</v>
      </c>
      <c r="H132" s="631">
        <f t="shared" si="46"/>
        <v>0</v>
      </c>
      <c r="I132" s="631">
        <f t="shared" si="46"/>
        <v>63</v>
      </c>
      <c r="J132" s="631">
        <f t="shared" si="46"/>
        <v>0</v>
      </c>
      <c r="K132" s="631">
        <f t="shared" si="46"/>
        <v>0</v>
      </c>
      <c r="L132" s="631">
        <f t="shared" si="46"/>
        <v>0</v>
      </c>
      <c r="M132" s="631">
        <f t="shared" si="46"/>
        <v>0</v>
      </c>
      <c r="N132" s="631">
        <f t="shared" si="46"/>
        <v>0</v>
      </c>
    </row>
    <row r="133" spans="1:14" ht="15" hidden="1">
      <c r="A133" s="505">
        <v>1</v>
      </c>
      <c r="B133" s="428" t="s">
        <v>131</v>
      </c>
      <c r="C133" s="653">
        <f t="shared" si="45"/>
        <v>81</v>
      </c>
      <c r="D133" s="684">
        <v>8</v>
      </c>
      <c r="E133" s="632">
        <f>SUM(F133:G133)</f>
        <v>70</v>
      </c>
      <c r="F133" s="684">
        <v>4</v>
      </c>
      <c r="G133" s="684">
        <v>66</v>
      </c>
      <c r="H133" s="684"/>
      <c r="I133" s="684">
        <v>3</v>
      </c>
      <c r="J133" s="684"/>
      <c r="K133" s="684"/>
      <c r="L133" s="684"/>
      <c r="M133" s="684"/>
      <c r="N133" s="686"/>
    </row>
    <row r="134" spans="1:14" ht="15" hidden="1">
      <c r="A134" s="505">
        <v>2</v>
      </c>
      <c r="B134" s="428" t="s">
        <v>132</v>
      </c>
      <c r="C134" s="653">
        <f t="shared" si="45"/>
        <v>115</v>
      </c>
      <c r="D134" s="684">
        <v>28</v>
      </c>
      <c r="E134" s="632">
        <f>SUM(F134:G134)</f>
        <v>27</v>
      </c>
      <c r="F134" s="684">
        <v>6</v>
      </c>
      <c r="G134" s="684">
        <v>21</v>
      </c>
      <c r="H134" s="684"/>
      <c r="I134" s="685">
        <v>60</v>
      </c>
      <c r="J134" s="685">
        <v>0</v>
      </c>
      <c r="K134" s="685"/>
      <c r="L134" s="684"/>
      <c r="M134" s="684"/>
      <c r="N134" s="686"/>
    </row>
    <row r="135" spans="1:14" ht="15" hidden="1">
      <c r="A135" s="506" t="s">
        <v>1</v>
      </c>
      <c r="B135" s="394" t="s">
        <v>133</v>
      </c>
      <c r="C135" s="653">
        <f t="shared" si="45"/>
        <v>0</v>
      </c>
      <c r="D135" s="685"/>
      <c r="E135" s="632">
        <f>SUM(F135:G135)</f>
        <v>0</v>
      </c>
      <c r="F135" s="685"/>
      <c r="G135" s="685"/>
      <c r="H135" s="685"/>
      <c r="I135" s="685"/>
      <c r="J135" s="685"/>
      <c r="K135" s="685"/>
      <c r="L135" s="685"/>
      <c r="M135" s="685"/>
      <c r="N135" s="686"/>
    </row>
    <row r="136" spans="1:14" ht="15" hidden="1">
      <c r="A136" s="506" t="s">
        <v>9</v>
      </c>
      <c r="B136" s="394" t="s">
        <v>134</v>
      </c>
      <c r="C136" s="653">
        <f t="shared" si="45"/>
        <v>0</v>
      </c>
      <c r="D136" s="685"/>
      <c r="E136" s="632">
        <f>SUM(F136:G136)</f>
        <v>0</v>
      </c>
      <c r="F136" s="654"/>
      <c r="G136" s="654"/>
      <c r="H136" s="654"/>
      <c r="I136" s="654"/>
      <c r="J136" s="654"/>
      <c r="K136" s="654"/>
      <c r="L136" s="654"/>
      <c r="M136" s="654"/>
      <c r="N136" s="654"/>
    </row>
    <row r="137" spans="1:14" ht="15" hidden="1">
      <c r="A137" s="506" t="s">
        <v>135</v>
      </c>
      <c r="B137" s="394" t="s">
        <v>136</v>
      </c>
      <c r="C137" s="630">
        <f t="shared" si="45"/>
        <v>196</v>
      </c>
      <c r="D137" s="631">
        <f>D132-SUM(D135,D136)</f>
        <v>36</v>
      </c>
      <c r="E137" s="631">
        <f>E132-SUM(E135,E136)</f>
        <v>97</v>
      </c>
      <c r="F137" s="631">
        <f aca="true" t="shared" si="47" ref="F137:M137">F132-SUM(F135,F136)</f>
        <v>10</v>
      </c>
      <c r="G137" s="631">
        <f t="shared" si="47"/>
        <v>87</v>
      </c>
      <c r="H137" s="631">
        <f t="shared" si="47"/>
        <v>0</v>
      </c>
      <c r="I137" s="631">
        <f t="shared" si="47"/>
        <v>63</v>
      </c>
      <c r="J137" s="631">
        <f t="shared" si="47"/>
        <v>0</v>
      </c>
      <c r="K137" s="631">
        <f t="shared" si="47"/>
        <v>0</v>
      </c>
      <c r="L137" s="631">
        <f t="shared" si="47"/>
        <v>0</v>
      </c>
      <c r="M137" s="631">
        <f t="shared" si="47"/>
        <v>0</v>
      </c>
      <c r="N137" s="631">
        <f>N132-SUM(N135,N136)</f>
        <v>0</v>
      </c>
    </row>
    <row r="138" spans="1:14" ht="15" hidden="1">
      <c r="A138" s="506" t="s">
        <v>51</v>
      </c>
      <c r="B138" s="429" t="s">
        <v>137</v>
      </c>
      <c r="C138" s="630">
        <f>C139+C140+C141+C142+C143+C144+C145</f>
        <v>127</v>
      </c>
      <c r="D138" s="630">
        <f>D139+D140+D141+D142+D143+D144+D145</f>
        <v>24</v>
      </c>
      <c r="E138" s="630">
        <f>F138+G138</f>
        <v>42</v>
      </c>
      <c r="F138" s="630">
        <f aca="true" t="shared" si="48" ref="F138:M138">F139+F140+F141+F142+F143+F144+F145</f>
        <v>5</v>
      </c>
      <c r="G138" s="630">
        <f t="shared" si="48"/>
        <v>37</v>
      </c>
      <c r="H138" s="630">
        <f t="shared" si="48"/>
        <v>0</v>
      </c>
      <c r="I138" s="630">
        <f t="shared" si="48"/>
        <v>61</v>
      </c>
      <c r="J138" s="630">
        <f t="shared" si="48"/>
        <v>0</v>
      </c>
      <c r="K138" s="630">
        <f t="shared" si="48"/>
        <v>0</v>
      </c>
      <c r="L138" s="630">
        <f t="shared" si="48"/>
        <v>0</v>
      </c>
      <c r="M138" s="630">
        <f t="shared" si="48"/>
        <v>0</v>
      </c>
      <c r="N138" s="630">
        <f>N139+N140+N141+N142+N143+N144+N145</f>
        <v>0</v>
      </c>
    </row>
    <row r="139" spans="1:14" ht="15" hidden="1">
      <c r="A139" s="505" t="s">
        <v>53</v>
      </c>
      <c r="B139" s="428" t="s">
        <v>138</v>
      </c>
      <c r="C139" s="635">
        <f aca="true" t="shared" si="49" ref="C139:C145">SUM(D139,E139,H139:N139)</f>
        <v>117</v>
      </c>
      <c r="D139" s="687">
        <v>21</v>
      </c>
      <c r="E139" s="632">
        <f aca="true" t="shared" si="50" ref="E139:E145">SUM(F139:G139)</f>
        <v>37</v>
      </c>
      <c r="F139" s="687">
        <v>5</v>
      </c>
      <c r="G139" s="687">
        <v>32</v>
      </c>
      <c r="H139" s="687"/>
      <c r="I139" s="687">
        <v>59</v>
      </c>
      <c r="J139" s="687"/>
      <c r="K139" s="687"/>
      <c r="L139" s="687"/>
      <c r="M139" s="687"/>
      <c r="N139" s="686"/>
    </row>
    <row r="140" spans="1:14" ht="15" hidden="1">
      <c r="A140" s="505" t="s">
        <v>54</v>
      </c>
      <c r="B140" s="428" t="s">
        <v>139</v>
      </c>
      <c r="C140" s="635">
        <f t="shared" si="49"/>
        <v>2</v>
      </c>
      <c r="D140" s="687">
        <v>1</v>
      </c>
      <c r="E140" s="632">
        <f t="shared" si="50"/>
        <v>1</v>
      </c>
      <c r="F140" s="687"/>
      <c r="G140" s="687">
        <v>1</v>
      </c>
      <c r="H140" s="687"/>
      <c r="I140" s="687"/>
      <c r="J140" s="687"/>
      <c r="K140" s="687"/>
      <c r="L140" s="687"/>
      <c r="M140" s="687"/>
      <c r="N140" s="686"/>
    </row>
    <row r="141" spans="1:14" ht="15" hidden="1">
      <c r="A141" s="505" t="s">
        <v>140</v>
      </c>
      <c r="B141" s="428" t="s">
        <v>141</v>
      </c>
      <c r="C141" s="635">
        <f t="shared" si="49"/>
        <v>8</v>
      </c>
      <c r="D141" s="685">
        <v>2</v>
      </c>
      <c r="E141" s="632">
        <f t="shared" si="50"/>
        <v>4</v>
      </c>
      <c r="F141" s="687"/>
      <c r="G141" s="687">
        <v>4</v>
      </c>
      <c r="H141" s="687"/>
      <c r="I141" s="687">
        <v>2</v>
      </c>
      <c r="J141" s="687"/>
      <c r="K141" s="687"/>
      <c r="L141" s="687"/>
      <c r="M141" s="687"/>
      <c r="N141" s="686"/>
    </row>
    <row r="142" spans="1:14" ht="15" hidden="1">
      <c r="A142" s="505" t="s">
        <v>142</v>
      </c>
      <c r="B142" s="428" t="s">
        <v>143</v>
      </c>
      <c r="C142" s="636">
        <f t="shared" si="49"/>
        <v>0</v>
      </c>
      <c r="D142" s="685"/>
      <c r="E142" s="637">
        <f t="shared" si="50"/>
        <v>0</v>
      </c>
      <c r="F142" s="687"/>
      <c r="G142" s="687"/>
      <c r="H142" s="687"/>
      <c r="I142" s="687"/>
      <c r="J142" s="687"/>
      <c r="K142" s="687"/>
      <c r="L142" s="687"/>
      <c r="M142" s="687"/>
      <c r="N142" s="686"/>
    </row>
    <row r="143" spans="1:14" ht="15" hidden="1">
      <c r="A143" s="505" t="s">
        <v>144</v>
      </c>
      <c r="B143" s="428" t="s">
        <v>145</v>
      </c>
      <c r="C143" s="635">
        <f t="shared" si="49"/>
        <v>0</v>
      </c>
      <c r="D143" s="685"/>
      <c r="E143" s="632">
        <f t="shared" si="50"/>
        <v>0</v>
      </c>
      <c r="F143" s="687"/>
      <c r="G143" s="687"/>
      <c r="H143" s="687"/>
      <c r="I143" s="687"/>
      <c r="J143" s="687"/>
      <c r="K143" s="687"/>
      <c r="L143" s="687"/>
      <c r="M143" s="687"/>
      <c r="N143" s="686"/>
    </row>
    <row r="144" spans="1:14" ht="25.5" hidden="1">
      <c r="A144" s="505" t="s">
        <v>146</v>
      </c>
      <c r="B144" s="430" t="s">
        <v>147</v>
      </c>
      <c r="C144" s="635">
        <f t="shared" si="49"/>
        <v>0</v>
      </c>
      <c r="D144" s="685"/>
      <c r="E144" s="632">
        <f t="shared" si="50"/>
        <v>0</v>
      </c>
      <c r="F144" s="687"/>
      <c r="G144" s="687"/>
      <c r="H144" s="687"/>
      <c r="I144" s="687"/>
      <c r="J144" s="687"/>
      <c r="K144" s="687"/>
      <c r="L144" s="687"/>
      <c r="M144" s="687"/>
      <c r="N144" s="686"/>
    </row>
    <row r="145" spans="1:14" ht="15" hidden="1">
      <c r="A145" s="505" t="s">
        <v>148</v>
      </c>
      <c r="B145" s="428" t="s">
        <v>149</v>
      </c>
      <c r="C145" s="635">
        <f t="shared" si="49"/>
        <v>0</v>
      </c>
      <c r="D145" s="685"/>
      <c r="E145" s="632">
        <f t="shared" si="50"/>
        <v>0</v>
      </c>
      <c r="F145" s="405">
        <f>0+0+0</f>
        <v>0</v>
      </c>
      <c r="G145" s="654"/>
      <c r="H145" s="654">
        <f>0+0+0</f>
        <v>0</v>
      </c>
      <c r="I145" s="654"/>
      <c r="J145" s="654"/>
      <c r="K145" s="654"/>
      <c r="L145" s="654"/>
      <c r="M145" s="654"/>
      <c r="N145" s="654"/>
    </row>
    <row r="146" spans="1:14" ht="15" hidden="1">
      <c r="A146" s="506" t="s">
        <v>52</v>
      </c>
      <c r="B146" s="394" t="s">
        <v>150</v>
      </c>
      <c r="C146" s="630">
        <f>SUM(D146,E146,H146:N146)</f>
        <v>69</v>
      </c>
      <c r="D146" s="630">
        <f>D137-D138</f>
        <v>12</v>
      </c>
      <c r="E146" s="631">
        <f>SUM(F146:G146)</f>
        <v>55</v>
      </c>
      <c r="F146" s="630">
        <f aca="true" t="shared" si="51" ref="F146:N146">F137-F138</f>
        <v>5</v>
      </c>
      <c r="G146" s="630">
        <f t="shared" si="51"/>
        <v>50</v>
      </c>
      <c r="H146" s="630">
        <f t="shared" si="51"/>
        <v>0</v>
      </c>
      <c r="I146" s="630">
        <f t="shared" si="51"/>
        <v>2</v>
      </c>
      <c r="J146" s="630">
        <f t="shared" si="51"/>
        <v>0</v>
      </c>
      <c r="K146" s="630">
        <f t="shared" si="51"/>
        <v>0</v>
      </c>
      <c r="L146" s="630">
        <f t="shared" si="51"/>
        <v>0</v>
      </c>
      <c r="M146" s="630">
        <f t="shared" si="51"/>
        <v>0</v>
      </c>
      <c r="N146" s="630">
        <f t="shared" si="51"/>
        <v>0</v>
      </c>
    </row>
    <row r="147" spans="1:14" ht="23.25" customHeight="1" hidden="1">
      <c r="A147" s="506" t="s">
        <v>538</v>
      </c>
      <c r="B147" s="431" t="s">
        <v>151</v>
      </c>
      <c r="C147" s="412">
        <f>(C139+C140)/C138</f>
        <v>0.937007874015748</v>
      </c>
      <c r="D147" s="412">
        <f aca="true" t="shared" si="52" ref="D147:N147">(D139+C140)/D138</f>
        <v>0.9583333333333334</v>
      </c>
      <c r="E147" s="412">
        <f t="shared" si="52"/>
        <v>0.9047619047619048</v>
      </c>
      <c r="F147" s="412">
        <f t="shared" si="52"/>
        <v>1.2</v>
      </c>
      <c r="G147" s="412">
        <f t="shared" si="52"/>
        <v>0.8648648648648649</v>
      </c>
      <c r="H147" s="412" t="e">
        <f t="shared" si="52"/>
        <v>#DIV/0!</v>
      </c>
      <c r="I147" s="412">
        <f t="shared" si="52"/>
        <v>0.9672131147540983</v>
      </c>
      <c r="J147" s="412" t="e">
        <f t="shared" si="52"/>
        <v>#DIV/0!</v>
      </c>
      <c r="K147" s="412" t="e">
        <f t="shared" si="52"/>
        <v>#DIV/0!</v>
      </c>
      <c r="L147" s="412" t="e">
        <f t="shared" si="52"/>
        <v>#DIV/0!</v>
      </c>
      <c r="M147" s="412" t="e">
        <f t="shared" si="52"/>
        <v>#DIV/0!</v>
      </c>
      <c r="N147" s="412" t="e">
        <f t="shared" si="52"/>
        <v>#DIV/0!</v>
      </c>
    </row>
    <row r="148" ht="0.75" customHeight="1" hidden="1"/>
    <row r="149" ht="15" hidden="1">
      <c r="B149" s="675" t="s">
        <v>693</v>
      </c>
    </row>
    <row r="150" spans="1:14" ht="15" customHeight="1" hidden="1">
      <c r="A150" s="1272" t="s">
        <v>68</v>
      </c>
      <c r="B150" s="1273"/>
      <c r="C150" s="1286" t="s">
        <v>37</v>
      </c>
      <c r="D150" s="1278" t="s">
        <v>335</v>
      </c>
      <c r="E150" s="1282"/>
      <c r="F150" s="1282"/>
      <c r="G150" s="1282"/>
      <c r="H150" s="1282"/>
      <c r="I150" s="1282"/>
      <c r="J150" s="1282"/>
      <c r="K150" s="1282"/>
      <c r="L150" s="1282"/>
      <c r="M150" s="1282"/>
      <c r="N150" s="1283"/>
    </row>
    <row r="151" spans="1:14" ht="15" customHeight="1" hidden="1">
      <c r="A151" s="1274"/>
      <c r="B151" s="1275"/>
      <c r="C151" s="1287"/>
      <c r="D151" s="1289" t="s">
        <v>119</v>
      </c>
      <c r="E151" s="1264" t="s">
        <v>120</v>
      </c>
      <c r="F151" s="1290"/>
      <c r="G151" s="1265"/>
      <c r="H151" s="1271" t="s">
        <v>121</v>
      </c>
      <c r="I151" s="1271" t="s">
        <v>122</v>
      </c>
      <c r="J151" s="1271" t="s">
        <v>123</v>
      </c>
      <c r="K151" s="1271" t="s">
        <v>124</v>
      </c>
      <c r="L151" s="1271" t="s">
        <v>125</v>
      </c>
      <c r="M151" s="1271" t="s">
        <v>126</v>
      </c>
      <c r="N151" s="1271" t="s">
        <v>127</v>
      </c>
    </row>
    <row r="152" spans="1:14" ht="15" hidden="1">
      <c r="A152" s="1274"/>
      <c r="B152" s="1275"/>
      <c r="C152" s="1287"/>
      <c r="D152" s="1284"/>
      <c r="E152" s="1271" t="s">
        <v>36</v>
      </c>
      <c r="F152" s="1264" t="s">
        <v>7</v>
      </c>
      <c r="G152" s="1265"/>
      <c r="H152" s="1262"/>
      <c r="I152" s="1262"/>
      <c r="J152" s="1262"/>
      <c r="K152" s="1262"/>
      <c r="L152" s="1262"/>
      <c r="M152" s="1262"/>
      <c r="N152" s="1262"/>
    </row>
    <row r="153" spans="1:14" ht="15" hidden="1">
      <c r="A153" s="1276"/>
      <c r="B153" s="1277"/>
      <c r="C153" s="1288"/>
      <c r="D153" s="1285"/>
      <c r="E153" s="1263"/>
      <c r="F153" s="557" t="s">
        <v>199</v>
      </c>
      <c r="G153" s="558" t="s">
        <v>200</v>
      </c>
      <c r="H153" s="1263"/>
      <c r="I153" s="1263"/>
      <c r="J153" s="1263"/>
      <c r="K153" s="1263"/>
      <c r="L153" s="1263"/>
      <c r="M153" s="1263"/>
      <c r="N153" s="1263"/>
    </row>
    <row r="154" spans="1:14" ht="15" hidden="1">
      <c r="A154" s="1269" t="s">
        <v>39</v>
      </c>
      <c r="B154" s="1270"/>
      <c r="C154" s="503">
        <v>1</v>
      </c>
      <c r="D154" s="503">
        <v>2</v>
      </c>
      <c r="E154" s="503">
        <v>3</v>
      </c>
      <c r="F154" s="503">
        <v>4</v>
      </c>
      <c r="G154" s="503">
        <v>5</v>
      </c>
      <c r="H154" s="503">
        <v>6</v>
      </c>
      <c r="I154" s="503">
        <v>7</v>
      </c>
      <c r="J154" s="503">
        <v>8</v>
      </c>
      <c r="K154" s="503">
        <v>9</v>
      </c>
      <c r="L154" s="503">
        <v>10</v>
      </c>
      <c r="M154" s="503">
        <v>11</v>
      </c>
      <c r="N154" s="503">
        <v>12</v>
      </c>
    </row>
    <row r="155" spans="1:14" ht="17.25" customHeight="1" hidden="1">
      <c r="A155" s="504" t="s">
        <v>0</v>
      </c>
      <c r="B155" s="426" t="s">
        <v>130</v>
      </c>
      <c r="C155" s="630">
        <f aca="true" t="shared" si="53" ref="C155:C160">SUM(D155,E155,H155:N155)</f>
        <v>388</v>
      </c>
      <c r="D155" s="631">
        <f aca="true" t="shared" si="54" ref="D155:N155">SUM(D156:D157)</f>
        <v>50</v>
      </c>
      <c r="E155" s="631">
        <f t="shared" si="54"/>
        <v>168</v>
      </c>
      <c r="F155" s="631">
        <f t="shared" si="54"/>
        <v>39</v>
      </c>
      <c r="G155" s="631">
        <f t="shared" si="54"/>
        <v>129</v>
      </c>
      <c r="H155" s="631">
        <f t="shared" si="54"/>
        <v>1</v>
      </c>
      <c r="I155" s="631">
        <f t="shared" si="54"/>
        <v>126</v>
      </c>
      <c r="J155" s="631">
        <f t="shared" si="54"/>
        <v>1</v>
      </c>
      <c r="K155" s="631">
        <f t="shared" si="54"/>
        <v>0</v>
      </c>
      <c r="L155" s="631">
        <f t="shared" si="54"/>
        <v>0</v>
      </c>
      <c r="M155" s="631">
        <f t="shared" si="54"/>
        <v>0</v>
      </c>
      <c r="N155" s="631">
        <f t="shared" si="54"/>
        <v>42</v>
      </c>
    </row>
    <row r="156" spans="1:14" ht="24.75" customHeight="1" hidden="1">
      <c r="A156" s="505">
        <v>1</v>
      </c>
      <c r="B156" s="428" t="s">
        <v>131</v>
      </c>
      <c r="C156" s="653">
        <f t="shared" si="53"/>
        <v>102</v>
      </c>
      <c r="D156" s="642">
        <f>2+4+4+6</f>
        <v>16</v>
      </c>
      <c r="E156" s="632">
        <f>SUM(F156:G156)</f>
        <v>83</v>
      </c>
      <c r="F156" s="677">
        <f>0+2+11+17</f>
        <v>30</v>
      </c>
      <c r="G156" s="677">
        <f>13+17+12+11</f>
        <v>53</v>
      </c>
      <c r="H156" s="677"/>
      <c r="I156" s="677">
        <f>0+2+0+0</f>
        <v>2</v>
      </c>
      <c r="J156" s="677">
        <v>1</v>
      </c>
      <c r="K156" s="677"/>
      <c r="L156" s="677"/>
      <c r="M156" s="677"/>
      <c r="N156" s="677"/>
    </row>
    <row r="157" spans="1:14" ht="24.75" customHeight="1" hidden="1">
      <c r="A157" s="505">
        <v>2</v>
      </c>
      <c r="B157" s="428" t="s">
        <v>132</v>
      </c>
      <c r="C157" s="653">
        <f t="shared" si="53"/>
        <v>286</v>
      </c>
      <c r="D157" s="642">
        <f>5+5+14+10</f>
        <v>34</v>
      </c>
      <c r="E157" s="632">
        <f>SUM(F157:G157)</f>
        <v>85</v>
      </c>
      <c r="F157" s="677">
        <f>0+1+0+8</f>
        <v>9</v>
      </c>
      <c r="G157" s="677">
        <f>23+17+15+21</f>
        <v>76</v>
      </c>
      <c r="H157" s="677">
        <v>1</v>
      </c>
      <c r="I157" s="677">
        <f>23+30+41+30</f>
        <v>124</v>
      </c>
      <c r="J157" s="677">
        <v>0</v>
      </c>
      <c r="K157" s="677"/>
      <c r="L157" s="677"/>
      <c r="M157" s="677"/>
      <c r="N157" s="677">
        <v>42</v>
      </c>
    </row>
    <row r="158" spans="1:14" ht="19.5" customHeight="1" hidden="1">
      <c r="A158" s="506" t="s">
        <v>1</v>
      </c>
      <c r="B158" s="394" t="s">
        <v>133</v>
      </c>
      <c r="C158" s="653">
        <f t="shared" si="53"/>
        <v>2</v>
      </c>
      <c r="D158" s="731"/>
      <c r="E158" s="632">
        <f>SUM(F158:G158)</f>
        <v>2</v>
      </c>
      <c r="F158" s="730"/>
      <c r="G158" s="730">
        <v>2</v>
      </c>
      <c r="H158" s="730">
        <v>0</v>
      </c>
      <c r="I158" s="730"/>
      <c r="J158" s="730"/>
      <c r="K158" s="730"/>
      <c r="L158" s="730"/>
      <c r="M158" s="730"/>
      <c r="N158" s="730"/>
    </row>
    <row r="159" spans="1:14" ht="15" hidden="1">
      <c r="A159" s="506" t="s">
        <v>9</v>
      </c>
      <c r="B159" s="394" t="s">
        <v>134</v>
      </c>
      <c r="C159" s="653">
        <f t="shared" si="53"/>
        <v>0</v>
      </c>
      <c r="D159" s="634"/>
      <c r="E159" s="632">
        <f>SUM(F159:G159)</f>
        <v>0</v>
      </c>
      <c r="F159" s="654"/>
      <c r="G159" s="654"/>
      <c r="H159" s="654"/>
      <c r="I159" s="654"/>
      <c r="J159" s="654"/>
      <c r="K159" s="654"/>
      <c r="L159" s="654"/>
      <c r="M159" s="654"/>
      <c r="N159" s="654"/>
    </row>
    <row r="160" spans="1:14" ht="15" hidden="1">
      <c r="A160" s="506" t="s">
        <v>135</v>
      </c>
      <c r="B160" s="394" t="s">
        <v>136</v>
      </c>
      <c r="C160" s="630">
        <f t="shared" si="53"/>
        <v>386</v>
      </c>
      <c r="D160" s="631">
        <f aca="true" t="shared" si="55" ref="D160:N160">D155-SUM(D158,D159)</f>
        <v>50</v>
      </c>
      <c r="E160" s="631">
        <f t="shared" si="55"/>
        <v>166</v>
      </c>
      <c r="F160" s="631">
        <f t="shared" si="55"/>
        <v>39</v>
      </c>
      <c r="G160" s="631">
        <f t="shared" si="55"/>
        <v>127</v>
      </c>
      <c r="H160" s="631">
        <f t="shared" si="55"/>
        <v>1</v>
      </c>
      <c r="I160" s="631">
        <f t="shared" si="55"/>
        <v>126</v>
      </c>
      <c r="J160" s="631">
        <f t="shared" si="55"/>
        <v>1</v>
      </c>
      <c r="K160" s="631">
        <f t="shared" si="55"/>
        <v>0</v>
      </c>
      <c r="L160" s="631">
        <f t="shared" si="55"/>
        <v>0</v>
      </c>
      <c r="M160" s="631">
        <f t="shared" si="55"/>
        <v>0</v>
      </c>
      <c r="N160" s="631">
        <f t="shared" si="55"/>
        <v>42</v>
      </c>
    </row>
    <row r="161" spans="1:14" ht="15" hidden="1">
      <c r="A161" s="506" t="s">
        <v>51</v>
      </c>
      <c r="B161" s="429" t="s">
        <v>137</v>
      </c>
      <c r="C161" s="630">
        <f>C162+C163+C164+C165+C166+C167+C168</f>
        <v>295</v>
      </c>
      <c r="D161" s="630">
        <f>D162+D163+D164+D165+D166+D167+D168</f>
        <v>43</v>
      </c>
      <c r="E161" s="630">
        <f>F161+G161</f>
        <v>85</v>
      </c>
      <c r="F161" s="630">
        <f aca="true" t="shared" si="56" ref="F161:M161">F162+F163+F164+F165+F166+F167+F168</f>
        <v>9</v>
      </c>
      <c r="G161" s="630">
        <f t="shared" si="56"/>
        <v>76</v>
      </c>
      <c r="H161" s="630">
        <f t="shared" si="56"/>
        <v>1</v>
      </c>
      <c r="I161" s="630">
        <f t="shared" si="56"/>
        <v>124</v>
      </c>
      <c r="J161" s="630">
        <f t="shared" si="56"/>
        <v>0</v>
      </c>
      <c r="K161" s="630">
        <f t="shared" si="56"/>
        <v>0</v>
      </c>
      <c r="L161" s="630">
        <f t="shared" si="56"/>
        <v>0</v>
      </c>
      <c r="M161" s="630">
        <f t="shared" si="56"/>
        <v>0</v>
      </c>
      <c r="N161" s="630">
        <f>N162+N163+N164+N165+N166+N167+N168</f>
        <v>42</v>
      </c>
    </row>
    <row r="162" spans="1:14" ht="15.75" hidden="1">
      <c r="A162" s="505" t="s">
        <v>53</v>
      </c>
      <c r="B162" s="428" t="s">
        <v>138</v>
      </c>
      <c r="C162" s="635">
        <f aca="true" t="shared" si="57" ref="C162:C168">SUM(D162,E162,H162:N162)</f>
        <v>256</v>
      </c>
      <c r="D162" s="642">
        <f>5+3+11+8</f>
        <v>27</v>
      </c>
      <c r="E162" s="632">
        <f aca="true" t="shared" si="58" ref="E162:E168">SUM(F162:G162)</f>
        <v>71</v>
      </c>
      <c r="F162" s="677">
        <f>0+1+0+7</f>
        <v>8</v>
      </c>
      <c r="G162" s="677">
        <f>14+16+15+18</f>
        <v>63</v>
      </c>
      <c r="H162" s="677">
        <v>1</v>
      </c>
      <c r="I162" s="677">
        <f>21+28+41+27</f>
        <v>117</v>
      </c>
      <c r="J162" s="677">
        <v>0</v>
      </c>
      <c r="K162" s="677"/>
      <c r="L162" s="677"/>
      <c r="M162" s="677"/>
      <c r="N162" s="677">
        <v>40</v>
      </c>
    </row>
    <row r="163" spans="1:14" ht="15.75" hidden="1">
      <c r="A163" s="505" t="s">
        <v>54</v>
      </c>
      <c r="B163" s="428" t="s">
        <v>139</v>
      </c>
      <c r="C163" s="635">
        <f t="shared" si="57"/>
        <v>1</v>
      </c>
      <c r="D163" s="642"/>
      <c r="E163" s="632">
        <f t="shared" si="58"/>
        <v>1</v>
      </c>
      <c r="F163" s="677"/>
      <c r="G163" s="677">
        <f>1+0+0+0</f>
        <v>1</v>
      </c>
      <c r="H163" s="677"/>
      <c r="I163" s="677"/>
      <c r="J163" s="677"/>
      <c r="K163" s="677"/>
      <c r="L163" s="677"/>
      <c r="M163" s="677"/>
      <c r="N163" s="677"/>
    </row>
    <row r="164" spans="1:14" ht="15.75" hidden="1">
      <c r="A164" s="505" t="s">
        <v>140</v>
      </c>
      <c r="B164" s="428" t="s">
        <v>141</v>
      </c>
      <c r="C164" s="635">
        <f t="shared" si="57"/>
        <v>38</v>
      </c>
      <c r="D164" s="642">
        <f>0+6+4+6</f>
        <v>16</v>
      </c>
      <c r="E164" s="632">
        <f t="shared" si="58"/>
        <v>13</v>
      </c>
      <c r="F164" s="677">
        <f>0+0+0+1</f>
        <v>1</v>
      </c>
      <c r="G164" s="677">
        <f>9+0+2+1</f>
        <v>12</v>
      </c>
      <c r="H164" s="677"/>
      <c r="I164" s="677">
        <f>2+2+0+3</f>
        <v>7</v>
      </c>
      <c r="J164" s="677"/>
      <c r="K164" s="677"/>
      <c r="L164" s="677"/>
      <c r="M164" s="677"/>
      <c r="N164" s="677">
        <v>2</v>
      </c>
    </row>
    <row r="165" spans="1:14" ht="15.75" hidden="1">
      <c r="A165" s="505" t="s">
        <v>142</v>
      </c>
      <c r="B165" s="428" t="s">
        <v>143</v>
      </c>
      <c r="C165" s="636">
        <f t="shared" si="57"/>
        <v>0</v>
      </c>
      <c r="D165" s="642"/>
      <c r="E165" s="637">
        <f t="shared" si="58"/>
        <v>0</v>
      </c>
      <c r="F165" s="677"/>
      <c r="G165" s="677"/>
      <c r="H165" s="677"/>
      <c r="I165" s="677"/>
      <c r="J165" s="677"/>
      <c r="K165" s="677"/>
      <c r="L165" s="677"/>
      <c r="M165" s="677"/>
      <c r="N165" s="677"/>
    </row>
    <row r="166" spans="1:14" ht="20.25" customHeight="1" hidden="1">
      <c r="A166" s="505" t="s">
        <v>144</v>
      </c>
      <c r="B166" s="428" t="s">
        <v>145</v>
      </c>
      <c r="C166" s="635">
        <f t="shared" si="57"/>
        <v>0</v>
      </c>
      <c r="D166" s="642"/>
      <c r="E166" s="632">
        <f t="shared" si="58"/>
        <v>0</v>
      </c>
      <c r="F166" s="677"/>
      <c r="G166" s="677"/>
      <c r="H166" s="677">
        <v>0</v>
      </c>
      <c r="I166" s="677"/>
      <c r="J166" s="677"/>
      <c r="K166" s="677"/>
      <c r="L166" s="677"/>
      <c r="M166" s="677"/>
      <c r="N166" s="677"/>
    </row>
    <row r="167" spans="1:14" ht="25.5" hidden="1">
      <c r="A167" s="505" t="s">
        <v>146</v>
      </c>
      <c r="B167" s="430" t="s">
        <v>147</v>
      </c>
      <c r="C167" s="635">
        <f t="shared" si="57"/>
        <v>0</v>
      </c>
      <c r="D167" s="642"/>
      <c r="E167" s="632">
        <f t="shared" si="58"/>
        <v>0</v>
      </c>
      <c r="F167" s="677"/>
      <c r="G167" s="677"/>
      <c r="H167" s="677">
        <v>0</v>
      </c>
      <c r="I167" s="677"/>
      <c r="J167" s="677"/>
      <c r="K167" s="677"/>
      <c r="L167" s="677"/>
      <c r="M167" s="677"/>
      <c r="N167" s="677"/>
    </row>
    <row r="168" spans="1:14" ht="15.75" hidden="1">
      <c r="A168" s="505" t="s">
        <v>148</v>
      </c>
      <c r="B168" s="428" t="s">
        <v>149</v>
      </c>
      <c r="C168" s="635">
        <f t="shared" si="57"/>
        <v>0</v>
      </c>
      <c r="D168" s="642">
        <v>0</v>
      </c>
      <c r="E168" s="632">
        <f t="shared" si="58"/>
        <v>0</v>
      </c>
      <c r="F168" s="677"/>
      <c r="G168" s="677"/>
      <c r="H168" s="677">
        <v>0</v>
      </c>
      <c r="I168" s="677"/>
      <c r="J168" s="677"/>
      <c r="K168" s="677"/>
      <c r="L168" s="677"/>
      <c r="M168" s="677"/>
      <c r="N168" s="677"/>
    </row>
    <row r="169" spans="1:14" ht="15" hidden="1">
      <c r="A169" s="506" t="s">
        <v>52</v>
      </c>
      <c r="B169" s="394" t="s">
        <v>150</v>
      </c>
      <c r="C169" s="630">
        <f>SUM(D169,E169,H169:N169)</f>
        <v>91</v>
      </c>
      <c r="D169" s="630">
        <f>D160-D161</f>
        <v>7</v>
      </c>
      <c r="E169" s="631">
        <f>SUM(F169:G169)</f>
        <v>81</v>
      </c>
      <c r="F169" s="630">
        <f aca="true" t="shared" si="59" ref="F169:N169">F160-F161</f>
        <v>30</v>
      </c>
      <c r="G169" s="630">
        <f t="shared" si="59"/>
        <v>51</v>
      </c>
      <c r="H169" s="630">
        <f t="shared" si="59"/>
        <v>0</v>
      </c>
      <c r="I169" s="630">
        <f t="shared" si="59"/>
        <v>2</v>
      </c>
      <c r="J169" s="630">
        <f t="shared" si="59"/>
        <v>1</v>
      </c>
      <c r="K169" s="630">
        <f t="shared" si="59"/>
        <v>0</v>
      </c>
      <c r="L169" s="630">
        <f t="shared" si="59"/>
        <v>0</v>
      </c>
      <c r="M169" s="630">
        <f t="shared" si="59"/>
        <v>0</v>
      </c>
      <c r="N169" s="630">
        <f t="shared" si="59"/>
        <v>0</v>
      </c>
    </row>
    <row r="170" spans="1:14" ht="25.5" hidden="1">
      <c r="A170" s="506" t="s">
        <v>538</v>
      </c>
      <c r="B170" s="431" t="s">
        <v>151</v>
      </c>
      <c r="C170" s="412">
        <f>(C162+C163)/C161</f>
        <v>0.8711864406779661</v>
      </c>
      <c r="D170" s="412">
        <f aca="true" t="shared" si="60" ref="D170:N170">(D162+C163)/D161</f>
        <v>0.6511627906976745</v>
      </c>
      <c r="E170" s="412">
        <f t="shared" si="60"/>
        <v>0.8352941176470589</v>
      </c>
      <c r="F170" s="412">
        <f t="shared" si="60"/>
        <v>1</v>
      </c>
      <c r="G170" s="412">
        <f t="shared" si="60"/>
        <v>0.8289473684210527</v>
      </c>
      <c r="H170" s="412">
        <f t="shared" si="60"/>
        <v>2</v>
      </c>
      <c r="I170" s="412">
        <f t="shared" si="60"/>
        <v>0.9435483870967742</v>
      </c>
      <c r="J170" s="412" t="e">
        <f t="shared" si="60"/>
        <v>#DIV/0!</v>
      </c>
      <c r="K170" s="412" t="e">
        <f t="shared" si="60"/>
        <v>#DIV/0!</v>
      </c>
      <c r="L170" s="412" t="e">
        <f t="shared" si="60"/>
        <v>#DIV/0!</v>
      </c>
      <c r="M170" s="412" t="e">
        <f t="shared" si="60"/>
        <v>#DIV/0!</v>
      </c>
      <c r="N170" s="412">
        <f t="shared" si="60"/>
        <v>0.9523809523809523</v>
      </c>
    </row>
    <row r="171" ht="15" hidden="1"/>
    <row r="172" ht="15" hidden="1"/>
    <row r="173" ht="18.75" customHeight="1" hidden="1">
      <c r="B173" s="675" t="s">
        <v>694</v>
      </c>
    </row>
    <row r="174" spans="1:14" ht="15" customHeight="1" hidden="1">
      <c r="A174" s="1272" t="s">
        <v>68</v>
      </c>
      <c r="B174" s="1273"/>
      <c r="C174" s="1286" t="s">
        <v>37</v>
      </c>
      <c r="D174" s="1278" t="s">
        <v>335</v>
      </c>
      <c r="E174" s="1282"/>
      <c r="F174" s="1282"/>
      <c r="G174" s="1282"/>
      <c r="H174" s="1282"/>
      <c r="I174" s="1282"/>
      <c r="J174" s="1282"/>
      <c r="K174" s="1282"/>
      <c r="L174" s="1282"/>
      <c r="M174" s="1282"/>
      <c r="N174" s="1283"/>
    </row>
    <row r="175" spans="1:14" ht="15" customHeight="1" hidden="1">
      <c r="A175" s="1274"/>
      <c r="B175" s="1275"/>
      <c r="C175" s="1287"/>
      <c r="D175" s="1289" t="s">
        <v>119</v>
      </c>
      <c r="E175" s="1264" t="s">
        <v>120</v>
      </c>
      <c r="F175" s="1290"/>
      <c r="G175" s="1265"/>
      <c r="H175" s="1271" t="s">
        <v>121</v>
      </c>
      <c r="I175" s="1271" t="s">
        <v>122</v>
      </c>
      <c r="J175" s="1271" t="s">
        <v>123</v>
      </c>
      <c r="K175" s="1271" t="s">
        <v>124</v>
      </c>
      <c r="L175" s="1271" t="s">
        <v>125</v>
      </c>
      <c r="M175" s="1271" t="s">
        <v>126</v>
      </c>
      <c r="N175" s="1271" t="s">
        <v>127</v>
      </c>
    </row>
    <row r="176" spans="1:14" ht="15" hidden="1">
      <c r="A176" s="1274"/>
      <c r="B176" s="1275"/>
      <c r="C176" s="1287"/>
      <c r="D176" s="1284"/>
      <c r="E176" s="1271" t="s">
        <v>36</v>
      </c>
      <c r="F176" s="1264" t="s">
        <v>7</v>
      </c>
      <c r="G176" s="1265"/>
      <c r="H176" s="1262"/>
      <c r="I176" s="1262"/>
      <c r="J176" s="1262"/>
      <c r="K176" s="1262"/>
      <c r="L176" s="1262"/>
      <c r="M176" s="1262"/>
      <c r="N176" s="1262"/>
    </row>
    <row r="177" spans="1:14" ht="15" hidden="1">
      <c r="A177" s="1276"/>
      <c r="B177" s="1277"/>
      <c r="C177" s="1288"/>
      <c r="D177" s="1285"/>
      <c r="E177" s="1263"/>
      <c r="F177" s="557" t="s">
        <v>199</v>
      </c>
      <c r="G177" s="558" t="s">
        <v>200</v>
      </c>
      <c r="H177" s="1263"/>
      <c r="I177" s="1263"/>
      <c r="J177" s="1263"/>
      <c r="K177" s="1263"/>
      <c r="L177" s="1263"/>
      <c r="M177" s="1263"/>
      <c r="N177" s="1263"/>
    </row>
    <row r="178" spans="1:14" ht="15" hidden="1">
      <c r="A178" s="1269" t="s">
        <v>39</v>
      </c>
      <c r="B178" s="1270"/>
      <c r="C178" s="503">
        <v>1</v>
      </c>
      <c r="D178" s="503">
        <v>2</v>
      </c>
      <c r="E178" s="503">
        <v>3</v>
      </c>
      <c r="F178" s="503">
        <v>4</v>
      </c>
      <c r="G178" s="503">
        <v>5</v>
      </c>
      <c r="H178" s="503">
        <v>6</v>
      </c>
      <c r="I178" s="503">
        <v>7</v>
      </c>
      <c r="J178" s="503">
        <v>8</v>
      </c>
      <c r="K178" s="503">
        <v>9</v>
      </c>
      <c r="L178" s="503">
        <v>10</v>
      </c>
      <c r="M178" s="503">
        <v>11</v>
      </c>
      <c r="N178" s="503">
        <v>12</v>
      </c>
    </row>
    <row r="179" spans="1:14" ht="15" hidden="1">
      <c r="A179" s="504" t="s">
        <v>0</v>
      </c>
      <c r="B179" s="426" t="s">
        <v>130</v>
      </c>
      <c r="C179" s="630">
        <f aca="true" t="shared" si="61" ref="C179:C184">SUM(D179,E179,H179:N179)</f>
        <v>75</v>
      </c>
      <c r="D179" s="631">
        <f aca="true" t="shared" si="62" ref="D179:N179">SUM(D180:D181)</f>
        <v>7</v>
      </c>
      <c r="E179" s="631">
        <f t="shared" si="62"/>
        <v>55</v>
      </c>
      <c r="F179" s="631">
        <f t="shared" si="62"/>
        <v>6</v>
      </c>
      <c r="G179" s="631">
        <f t="shared" si="62"/>
        <v>49</v>
      </c>
      <c r="H179" s="631">
        <f t="shared" si="62"/>
        <v>0</v>
      </c>
      <c r="I179" s="631">
        <f t="shared" si="62"/>
        <v>13</v>
      </c>
      <c r="J179" s="631">
        <f t="shared" si="62"/>
        <v>0</v>
      </c>
      <c r="K179" s="631">
        <f t="shared" si="62"/>
        <v>0</v>
      </c>
      <c r="L179" s="631">
        <f t="shared" si="62"/>
        <v>0</v>
      </c>
      <c r="M179" s="631">
        <f t="shared" si="62"/>
        <v>0</v>
      </c>
      <c r="N179" s="631">
        <f t="shared" si="62"/>
        <v>0</v>
      </c>
    </row>
    <row r="180" spans="1:14" ht="15.75" hidden="1">
      <c r="A180" s="505">
        <v>1</v>
      </c>
      <c r="B180" s="428" t="s">
        <v>131</v>
      </c>
      <c r="C180" s="653">
        <f t="shared" si="61"/>
        <v>38</v>
      </c>
      <c r="D180" s="642">
        <v>4</v>
      </c>
      <c r="E180" s="632">
        <f>SUM(F180:G180)</f>
        <v>34</v>
      </c>
      <c r="F180" s="677">
        <v>4</v>
      </c>
      <c r="G180" s="677">
        <v>30</v>
      </c>
      <c r="H180" s="677"/>
      <c r="I180" s="677">
        <v>0</v>
      </c>
      <c r="J180" s="677"/>
      <c r="K180" s="677"/>
      <c r="L180" s="677"/>
      <c r="M180" s="677"/>
      <c r="N180" s="677"/>
    </row>
    <row r="181" spans="1:14" ht="15.75" hidden="1">
      <c r="A181" s="505">
        <v>2</v>
      </c>
      <c r="B181" s="428" t="s">
        <v>132</v>
      </c>
      <c r="C181" s="653">
        <f t="shared" si="61"/>
        <v>37</v>
      </c>
      <c r="D181" s="642">
        <v>3</v>
      </c>
      <c r="E181" s="632">
        <f>SUM(F181:G181)</f>
        <v>21</v>
      </c>
      <c r="F181" s="677">
        <v>2</v>
      </c>
      <c r="G181" s="677">
        <v>19</v>
      </c>
      <c r="H181" s="677"/>
      <c r="I181" s="677">
        <v>13</v>
      </c>
      <c r="J181" s="677"/>
      <c r="K181" s="677"/>
      <c r="L181" s="677"/>
      <c r="M181" s="677"/>
      <c r="N181" s="677"/>
    </row>
    <row r="182" spans="1:14" ht="15.75" hidden="1">
      <c r="A182" s="506" t="s">
        <v>1</v>
      </c>
      <c r="B182" s="394" t="s">
        <v>133</v>
      </c>
      <c r="C182" s="653">
        <f t="shared" si="61"/>
        <v>0</v>
      </c>
      <c r="D182" s="642"/>
      <c r="E182" s="632">
        <f>SUM(F182:G182)</f>
        <v>0</v>
      </c>
      <c r="F182" s="677"/>
      <c r="G182" s="677">
        <v>0</v>
      </c>
      <c r="H182" s="677"/>
      <c r="I182" s="677"/>
      <c r="J182" s="677"/>
      <c r="K182" s="677"/>
      <c r="L182" s="654"/>
      <c r="M182" s="654"/>
      <c r="N182" s="654"/>
    </row>
    <row r="183" spans="1:14" ht="15" hidden="1">
      <c r="A183" s="506" t="s">
        <v>9</v>
      </c>
      <c r="B183" s="394" t="s">
        <v>134</v>
      </c>
      <c r="C183" s="653">
        <f t="shared" si="61"/>
        <v>0</v>
      </c>
      <c r="D183" s="634"/>
      <c r="E183" s="632">
        <f>SUM(F183:G183)</f>
        <v>0</v>
      </c>
      <c r="F183" s="654"/>
      <c r="G183" s="654"/>
      <c r="H183" s="654"/>
      <c r="I183" s="654"/>
      <c r="J183" s="654"/>
      <c r="K183" s="654"/>
      <c r="L183" s="654"/>
      <c r="M183" s="654"/>
      <c r="N183" s="654"/>
    </row>
    <row r="184" spans="1:14" ht="15" hidden="1">
      <c r="A184" s="506" t="s">
        <v>135</v>
      </c>
      <c r="B184" s="394" t="s">
        <v>136</v>
      </c>
      <c r="C184" s="630">
        <f t="shared" si="61"/>
        <v>75</v>
      </c>
      <c r="D184" s="631">
        <f>D179-SUM(D182,D183)</f>
        <v>7</v>
      </c>
      <c r="E184" s="631">
        <f>E179-SUM(E182,E183)</f>
        <v>55</v>
      </c>
      <c r="F184" s="631">
        <f aca="true" t="shared" si="63" ref="F184:M184">F179-SUM(F182,F183)</f>
        <v>6</v>
      </c>
      <c r="G184" s="631">
        <f t="shared" si="63"/>
        <v>49</v>
      </c>
      <c r="H184" s="631">
        <f t="shared" si="63"/>
        <v>0</v>
      </c>
      <c r="I184" s="631">
        <f t="shared" si="63"/>
        <v>13</v>
      </c>
      <c r="J184" s="631">
        <f t="shared" si="63"/>
        <v>0</v>
      </c>
      <c r="K184" s="631">
        <f t="shared" si="63"/>
        <v>0</v>
      </c>
      <c r="L184" s="631">
        <f t="shared" si="63"/>
        <v>0</v>
      </c>
      <c r="M184" s="631">
        <f t="shared" si="63"/>
        <v>0</v>
      </c>
      <c r="N184" s="631">
        <f>N179-SUM(N182,N183)</f>
        <v>0</v>
      </c>
    </row>
    <row r="185" spans="1:14" ht="15" hidden="1">
      <c r="A185" s="506" t="s">
        <v>51</v>
      </c>
      <c r="B185" s="429" t="s">
        <v>137</v>
      </c>
      <c r="C185" s="630">
        <f>C186+C187+C188+C189+C190+C191+C192</f>
        <v>44</v>
      </c>
      <c r="D185" s="630">
        <f aca="true" t="shared" si="64" ref="D185:N185">D186+D187+D188+D189+D190+D191+D192</f>
        <v>4</v>
      </c>
      <c r="E185" s="630">
        <f>E186+E187+E188+E189+E190+E191+E192</f>
        <v>27</v>
      </c>
      <c r="F185" s="630">
        <f>F186+F187+F188+F189+F190+F191+F192</f>
        <v>2</v>
      </c>
      <c r="G185" s="630">
        <f>G186+G187+G188+G189+G190+G191+G192</f>
        <v>25</v>
      </c>
      <c r="H185" s="630">
        <f t="shared" si="64"/>
        <v>0</v>
      </c>
      <c r="I185" s="630">
        <f t="shared" si="64"/>
        <v>13</v>
      </c>
      <c r="J185" s="630">
        <f t="shared" si="64"/>
        <v>0</v>
      </c>
      <c r="K185" s="630">
        <f t="shared" si="64"/>
        <v>0</v>
      </c>
      <c r="L185" s="630">
        <f t="shared" si="64"/>
        <v>0</v>
      </c>
      <c r="M185" s="630">
        <f t="shared" si="64"/>
        <v>0</v>
      </c>
      <c r="N185" s="630">
        <f t="shared" si="64"/>
        <v>0</v>
      </c>
    </row>
    <row r="186" spans="1:14" ht="15.75" hidden="1">
      <c r="A186" s="505" t="s">
        <v>53</v>
      </c>
      <c r="B186" s="428" t="s">
        <v>138</v>
      </c>
      <c r="C186" s="635">
        <f aca="true" t="shared" si="65" ref="C186:C192">SUM(D186,E186,H186:N186)</f>
        <v>38</v>
      </c>
      <c r="D186" s="642">
        <v>2</v>
      </c>
      <c r="E186" s="632">
        <f aca="true" t="shared" si="66" ref="E186:E192">SUM(F186:G186)</f>
        <v>23</v>
      </c>
      <c r="F186" s="677">
        <v>1</v>
      </c>
      <c r="G186" s="677">
        <v>22</v>
      </c>
      <c r="H186" s="677"/>
      <c r="I186" s="677">
        <v>13</v>
      </c>
      <c r="J186" s="677"/>
      <c r="K186" s="677"/>
      <c r="L186" s="677"/>
      <c r="M186" s="677"/>
      <c r="N186" s="677"/>
    </row>
    <row r="187" spans="1:14" ht="15.75" hidden="1">
      <c r="A187" s="505" t="s">
        <v>54</v>
      </c>
      <c r="B187" s="428" t="s">
        <v>139</v>
      </c>
      <c r="C187" s="635">
        <f t="shared" si="65"/>
        <v>0</v>
      </c>
      <c r="D187" s="642">
        <v>0</v>
      </c>
      <c r="E187" s="632">
        <f t="shared" si="66"/>
        <v>0</v>
      </c>
      <c r="F187" s="677">
        <v>0</v>
      </c>
      <c r="G187" s="677">
        <v>0</v>
      </c>
      <c r="H187" s="677"/>
      <c r="I187" s="677">
        <v>0</v>
      </c>
      <c r="J187" s="677"/>
      <c r="K187" s="677"/>
      <c r="L187" s="677"/>
      <c r="M187" s="677"/>
      <c r="N187" s="677"/>
    </row>
    <row r="188" spans="1:14" ht="15.75" hidden="1">
      <c r="A188" s="505" t="s">
        <v>140</v>
      </c>
      <c r="B188" s="428" t="s">
        <v>141</v>
      </c>
      <c r="C188" s="635">
        <f t="shared" si="65"/>
        <v>6</v>
      </c>
      <c r="D188" s="642">
        <v>2</v>
      </c>
      <c r="E188" s="632">
        <f t="shared" si="66"/>
        <v>4</v>
      </c>
      <c r="F188" s="677">
        <v>1</v>
      </c>
      <c r="G188" s="677">
        <v>3</v>
      </c>
      <c r="H188" s="677"/>
      <c r="I188" s="677">
        <v>0</v>
      </c>
      <c r="J188" s="677"/>
      <c r="K188" s="677"/>
      <c r="L188" s="677"/>
      <c r="M188" s="677"/>
      <c r="N188" s="677"/>
    </row>
    <row r="189" spans="1:14" ht="18.75" customHeight="1" hidden="1">
      <c r="A189" s="505" t="s">
        <v>142</v>
      </c>
      <c r="B189" s="428" t="s">
        <v>143</v>
      </c>
      <c r="C189" s="636">
        <f t="shared" si="65"/>
        <v>0</v>
      </c>
      <c r="D189" s="642"/>
      <c r="E189" s="637">
        <f t="shared" si="66"/>
        <v>0</v>
      </c>
      <c r="F189" s="677"/>
      <c r="G189" s="677"/>
      <c r="H189" s="677"/>
      <c r="I189" s="677"/>
      <c r="J189" s="677"/>
      <c r="K189" s="677"/>
      <c r="L189" s="677"/>
      <c r="M189" s="677"/>
      <c r="N189" s="677"/>
    </row>
    <row r="190" spans="1:14" ht="15.75" hidden="1">
      <c r="A190" s="505" t="s">
        <v>144</v>
      </c>
      <c r="B190" s="428" t="s">
        <v>145</v>
      </c>
      <c r="C190" s="635">
        <f t="shared" si="65"/>
        <v>0</v>
      </c>
      <c r="D190" s="642"/>
      <c r="E190" s="632">
        <f t="shared" si="66"/>
        <v>0</v>
      </c>
      <c r="F190" s="681"/>
      <c r="G190" s="681"/>
      <c r="H190" s="677"/>
      <c r="I190" s="677"/>
      <c r="J190" s="677"/>
      <c r="K190" s="677"/>
      <c r="L190" s="677"/>
      <c r="M190" s="677"/>
      <c r="N190" s="677">
        <v>0</v>
      </c>
    </row>
    <row r="191" spans="1:14" ht="25.5" hidden="1">
      <c r="A191" s="505" t="s">
        <v>146</v>
      </c>
      <c r="B191" s="430" t="s">
        <v>147</v>
      </c>
      <c r="C191" s="635">
        <f t="shared" si="65"/>
        <v>0</v>
      </c>
      <c r="D191" s="642"/>
      <c r="E191" s="632">
        <f t="shared" si="66"/>
        <v>0</v>
      </c>
      <c r="F191" s="677"/>
      <c r="G191" s="677"/>
      <c r="H191" s="677"/>
      <c r="I191" s="677"/>
      <c r="J191" s="677"/>
      <c r="K191" s="677"/>
      <c r="L191" s="677"/>
      <c r="M191" s="677"/>
      <c r="N191" s="677"/>
    </row>
    <row r="192" spans="1:14" ht="15.75" hidden="1">
      <c r="A192" s="505" t="s">
        <v>148</v>
      </c>
      <c r="B192" s="428" t="s">
        <v>149</v>
      </c>
      <c r="C192" s="635">
        <f t="shared" si="65"/>
        <v>0</v>
      </c>
      <c r="D192" s="642"/>
      <c r="E192" s="632">
        <f t="shared" si="66"/>
        <v>0</v>
      </c>
      <c r="F192" s="405">
        <f>0+0+0</f>
        <v>0</v>
      </c>
      <c r="G192" s="654"/>
      <c r="H192" s="654">
        <f>0+0+0</f>
        <v>0</v>
      </c>
      <c r="I192" s="654"/>
      <c r="J192" s="654"/>
      <c r="K192" s="654"/>
      <c r="L192" s="654"/>
      <c r="M192" s="654"/>
      <c r="N192" s="654"/>
    </row>
    <row r="193" spans="1:14" ht="15" hidden="1">
      <c r="A193" s="506" t="s">
        <v>52</v>
      </c>
      <c r="B193" s="394" t="s">
        <v>150</v>
      </c>
      <c r="C193" s="630">
        <f>SUM(D193,E193,H193:N193)</f>
        <v>31</v>
      </c>
      <c r="D193" s="630">
        <f>D184-D185</f>
        <v>3</v>
      </c>
      <c r="E193" s="631">
        <f>SUM(F193:G193)</f>
        <v>28</v>
      </c>
      <c r="F193" s="630">
        <f aca="true" t="shared" si="67" ref="F193:N193">F184-F185</f>
        <v>4</v>
      </c>
      <c r="G193" s="630">
        <f t="shared" si="67"/>
        <v>24</v>
      </c>
      <c r="H193" s="630">
        <f t="shared" si="67"/>
        <v>0</v>
      </c>
      <c r="I193" s="630">
        <f t="shared" si="67"/>
        <v>0</v>
      </c>
      <c r="J193" s="630">
        <f t="shared" si="67"/>
        <v>0</v>
      </c>
      <c r="K193" s="630">
        <f t="shared" si="67"/>
        <v>0</v>
      </c>
      <c r="L193" s="630">
        <f t="shared" si="67"/>
        <v>0</v>
      </c>
      <c r="M193" s="630">
        <f t="shared" si="67"/>
        <v>0</v>
      </c>
      <c r="N193" s="630">
        <f t="shared" si="67"/>
        <v>0</v>
      </c>
    </row>
    <row r="194" spans="1:14" ht="25.5" hidden="1">
      <c r="A194" s="506" t="s">
        <v>538</v>
      </c>
      <c r="B194" s="431" t="s">
        <v>151</v>
      </c>
      <c r="C194" s="412">
        <f>(C186+C187)/C185</f>
        <v>0.8636363636363636</v>
      </c>
      <c r="D194" s="412">
        <f aca="true" t="shared" si="68" ref="D194:N194">(D186+C187)/D185</f>
        <v>0.5</v>
      </c>
      <c r="E194" s="412">
        <f t="shared" si="68"/>
        <v>0.8518518518518519</v>
      </c>
      <c r="F194" s="412">
        <f t="shared" si="68"/>
        <v>0.5</v>
      </c>
      <c r="G194" s="412">
        <f t="shared" si="68"/>
        <v>0.88</v>
      </c>
      <c r="H194" s="412" t="e">
        <f t="shared" si="68"/>
        <v>#DIV/0!</v>
      </c>
      <c r="I194" s="412">
        <f t="shared" si="68"/>
        <v>1</v>
      </c>
      <c r="J194" s="412" t="e">
        <f t="shared" si="68"/>
        <v>#DIV/0!</v>
      </c>
      <c r="K194" s="412" t="e">
        <f t="shared" si="68"/>
        <v>#DIV/0!</v>
      </c>
      <c r="L194" s="412" t="e">
        <f t="shared" si="68"/>
        <v>#DIV/0!</v>
      </c>
      <c r="M194" s="412" t="e">
        <f t="shared" si="68"/>
        <v>#DIV/0!</v>
      </c>
      <c r="N194" s="412" t="e">
        <f t="shared" si="68"/>
        <v>#DIV/0!</v>
      </c>
    </row>
    <row r="195" ht="26.25" customHeight="1" hidden="1"/>
    <row r="196" ht="29.25" customHeight="1" hidden="1"/>
    <row r="197" ht="21.75" customHeight="1" hidden="1">
      <c r="B197" s="388" t="s">
        <v>695</v>
      </c>
    </row>
    <row r="198" spans="1:14" ht="15" customHeight="1" hidden="1">
      <c r="A198" s="1272" t="s">
        <v>68</v>
      </c>
      <c r="B198" s="1273"/>
      <c r="C198" s="1286" t="s">
        <v>37</v>
      </c>
      <c r="D198" s="1278" t="s">
        <v>335</v>
      </c>
      <c r="E198" s="1282"/>
      <c r="F198" s="1282"/>
      <c r="G198" s="1282"/>
      <c r="H198" s="1282"/>
      <c r="I198" s="1282"/>
      <c r="J198" s="1282"/>
      <c r="K198" s="1282"/>
      <c r="L198" s="1282"/>
      <c r="M198" s="1282"/>
      <c r="N198" s="1283"/>
    </row>
    <row r="199" spans="1:14" ht="15" customHeight="1" hidden="1">
      <c r="A199" s="1274"/>
      <c r="B199" s="1275"/>
      <c r="C199" s="1287"/>
      <c r="D199" s="1289" t="s">
        <v>119</v>
      </c>
      <c r="E199" s="1264" t="s">
        <v>120</v>
      </c>
      <c r="F199" s="1290"/>
      <c r="G199" s="1265"/>
      <c r="H199" s="1271" t="s">
        <v>121</v>
      </c>
      <c r="I199" s="1271" t="s">
        <v>122</v>
      </c>
      <c r="J199" s="1271" t="s">
        <v>123</v>
      </c>
      <c r="K199" s="1271" t="s">
        <v>124</v>
      </c>
      <c r="L199" s="1271" t="s">
        <v>125</v>
      </c>
      <c r="M199" s="1271" t="s">
        <v>126</v>
      </c>
      <c r="N199" s="1271" t="s">
        <v>127</v>
      </c>
    </row>
    <row r="200" spans="1:14" ht="15" hidden="1">
      <c r="A200" s="1274"/>
      <c r="B200" s="1275"/>
      <c r="C200" s="1287"/>
      <c r="D200" s="1284"/>
      <c r="E200" s="1271" t="s">
        <v>36</v>
      </c>
      <c r="F200" s="1264" t="s">
        <v>7</v>
      </c>
      <c r="G200" s="1265"/>
      <c r="H200" s="1262"/>
      <c r="I200" s="1262"/>
      <c r="J200" s="1262"/>
      <c r="K200" s="1262"/>
      <c r="L200" s="1262"/>
      <c r="M200" s="1262"/>
      <c r="N200" s="1262"/>
    </row>
    <row r="201" spans="1:14" ht="15" hidden="1">
      <c r="A201" s="1276"/>
      <c r="B201" s="1277"/>
      <c r="C201" s="1288"/>
      <c r="D201" s="1285"/>
      <c r="E201" s="1263"/>
      <c r="F201" s="557" t="s">
        <v>199</v>
      </c>
      <c r="G201" s="558" t="s">
        <v>200</v>
      </c>
      <c r="H201" s="1263"/>
      <c r="I201" s="1263"/>
      <c r="J201" s="1263"/>
      <c r="K201" s="1263"/>
      <c r="L201" s="1263"/>
      <c r="M201" s="1263"/>
      <c r="N201" s="1263"/>
    </row>
    <row r="202" spans="1:14" ht="15" hidden="1">
      <c r="A202" s="1269" t="s">
        <v>39</v>
      </c>
      <c r="B202" s="1270"/>
      <c r="C202" s="503">
        <v>1</v>
      </c>
      <c r="D202" s="503">
        <v>2</v>
      </c>
      <c r="E202" s="503">
        <v>3</v>
      </c>
      <c r="F202" s="503">
        <v>4</v>
      </c>
      <c r="G202" s="503">
        <v>5</v>
      </c>
      <c r="H202" s="503">
        <v>6</v>
      </c>
      <c r="I202" s="503">
        <v>7</v>
      </c>
      <c r="J202" s="503">
        <v>8</v>
      </c>
      <c r="K202" s="503">
        <v>9</v>
      </c>
      <c r="L202" s="503">
        <v>10</v>
      </c>
      <c r="M202" s="503">
        <v>11</v>
      </c>
      <c r="N202" s="503">
        <v>12</v>
      </c>
    </row>
    <row r="203" spans="1:14" ht="15" hidden="1">
      <c r="A203" s="504" t="s">
        <v>0</v>
      </c>
      <c r="B203" s="426" t="s">
        <v>130</v>
      </c>
      <c r="C203" s="630">
        <f aca="true" t="shared" si="69" ref="C203:C208">SUM(D203,E203,H203:N203)</f>
        <v>31</v>
      </c>
      <c r="D203" s="631">
        <f aca="true" t="shared" si="70" ref="D203:N203">SUM(D204:D205)</f>
        <v>7</v>
      </c>
      <c r="E203" s="631">
        <f t="shared" si="70"/>
        <v>21</v>
      </c>
      <c r="F203" s="631">
        <f t="shared" si="70"/>
        <v>0</v>
      </c>
      <c r="G203" s="631">
        <f t="shared" si="70"/>
        <v>21</v>
      </c>
      <c r="H203" s="631">
        <f t="shared" si="70"/>
        <v>0</v>
      </c>
      <c r="I203" s="631">
        <f t="shared" si="70"/>
        <v>3</v>
      </c>
      <c r="J203" s="631">
        <f t="shared" si="70"/>
        <v>0</v>
      </c>
      <c r="K203" s="631">
        <f t="shared" si="70"/>
        <v>0</v>
      </c>
      <c r="L203" s="631">
        <f t="shared" si="70"/>
        <v>0</v>
      </c>
      <c r="M203" s="631">
        <f t="shared" si="70"/>
        <v>0</v>
      </c>
      <c r="N203" s="631">
        <f t="shared" si="70"/>
        <v>0</v>
      </c>
    </row>
    <row r="204" spans="1:14" ht="15.75" hidden="1">
      <c r="A204" s="505">
        <v>1</v>
      </c>
      <c r="B204" s="428" t="s">
        <v>131</v>
      </c>
      <c r="C204" s="653">
        <f t="shared" si="69"/>
        <v>10</v>
      </c>
      <c r="D204" s="772">
        <v>3</v>
      </c>
      <c r="E204" s="632">
        <f>SUM(F204:G204)</f>
        <v>7</v>
      </c>
      <c r="F204" s="772">
        <v>0</v>
      </c>
      <c r="G204" s="772">
        <v>7</v>
      </c>
      <c r="H204" s="772">
        <v>0</v>
      </c>
      <c r="I204" s="772">
        <v>0</v>
      </c>
      <c r="J204" s="772">
        <v>0</v>
      </c>
      <c r="K204" s="772">
        <v>0</v>
      </c>
      <c r="L204" s="772">
        <v>0</v>
      </c>
      <c r="M204" s="772">
        <v>0</v>
      </c>
      <c r="N204" s="772">
        <v>0</v>
      </c>
    </row>
    <row r="205" spans="1:14" ht="15.75" hidden="1">
      <c r="A205" s="505">
        <v>2</v>
      </c>
      <c r="B205" s="428" t="s">
        <v>132</v>
      </c>
      <c r="C205" s="653">
        <f t="shared" si="69"/>
        <v>21</v>
      </c>
      <c r="D205" s="688">
        <v>4</v>
      </c>
      <c r="E205" s="632">
        <f>SUM(F205:G205)</f>
        <v>14</v>
      </c>
      <c r="F205" s="688">
        <v>0</v>
      </c>
      <c r="G205" s="688">
        <v>14</v>
      </c>
      <c r="H205" s="688">
        <v>0</v>
      </c>
      <c r="I205" s="688">
        <v>3</v>
      </c>
      <c r="J205" s="688">
        <v>0</v>
      </c>
      <c r="K205" s="688">
        <v>0</v>
      </c>
      <c r="L205" s="688">
        <v>0</v>
      </c>
      <c r="M205" s="688">
        <v>0</v>
      </c>
      <c r="N205" s="688">
        <v>0</v>
      </c>
    </row>
    <row r="206" spans="1:14" ht="15.75" hidden="1">
      <c r="A206" s="506" t="s">
        <v>1</v>
      </c>
      <c r="B206" s="394" t="s">
        <v>133</v>
      </c>
      <c r="C206" s="653">
        <f t="shared" si="69"/>
        <v>0</v>
      </c>
      <c r="D206" s="764"/>
      <c r="E206" s="632">
        <f>SUM(F206:G206)</f>
        <v>0</v>
      </c>
      <c r="F206" s="654"/>
      <c r="G206" s="654"/>
      <c r="H206" s="654"/>
      <c r="I206" s="654"/>
      <c r="J206" s="654"/>
      <c r="K206" s="654"/>
      <c r="L206" s="654"/>
      <c r="M206" s="654"/>
      <c r="N206" s="654"/>
    </row>
    <row r="207" spans="1:14" ht="15" hidden="1">
      <c r="A207" s="506" t="s">
        <v>9</v>
      </c>
      <c r="B207" s="394" t="s">
        <v>134</v>
      </c>
      <c r="C207" s="653">
        <f t="shared" si="69"/>
        <v>0</v>
      </c>
      <c r="D207" s="634"/>
      <c r="E207" s="632">
        <f>SUM(F207:G207)</f>
        <v>0</v>
      </c>
      <c r="F207" s="654"/>
      <c r="G207" s="654"/>
      <c r="H207" s="654"/>
      <c r="I207" s="654"/>
      <c r="J207" s="654"/>
      <c r="K207" s="654"/>
      <c r="L207" s="654"/>
      <c r="M207" s="654"/>
      <c r="N207" s="654"/>
    </row>
    <row r="208" spans="1:14" ht="15" hidden="1">
      <c r="A208" s="506" t="s">
        <v>135</v>
      </c>
      <c r="B208" s="394" t="s">
        <v>136</v>
      </c>
      <c r="C208" s="630">
        <f t="shared" si="69"/>
        <v>31</v>
      </c>
      <c r="D208" s="631">
        <f>D203-SUM(D206,D207)</f>
        <v>7</v>
      </c>
      <c r="E208" s="631">
        <f>E203-SUM(E206,E207)</f>
        <v>21</v>
      </c>
      <c r="F208" s="631">
        <f aca="true" t="shared" si="71" ref="F208:M208">F203-SUM(F206,F207)</f>
        <v>0</v>
      </c>
      <c r="G208" s="631">
        <f t="shared" si="71"/>
        <v>21</v>
      </c>
      <c r="H208" s="631">
        <f t="shared" si="71"/>
        <v>0</v>
      </c>
      <c r="I208" s="631">
        <f t="shared" si="71"/>
        <v>3</v>
      </c>
      <c r="J208" s="631">
        <f t="shared" si="71"/>
        <v>0</v>
      </c>
      <c r="K208" s="631">
        <f t="shared" si="71"/>
        <v>0</v>
      </c>
      <c r="L208" s="631">
        <f t="shared" si="71"/>
        <v>0</v>
      </c>
      <c r="M208" s="631">
        <f t="shared" si="71"/>
        <v>0</v>
      </c>
      <c r="N208" s="631">
        <f>N203-SUM(N206,N207)</f>
        <v>0</v>
      </c>
    </row>
    <row r="209" spans="1:14" ht="15" hidden="1">
      <c r="A209" s="506" t="s">
        <v>51</v>
      </c>
      <c r="B209" s="429" t="s">
        <v>137</v>
      </c>
      <c r="C209" s="630">
        <f>C210+C211+C212+C213+C214+C215+C216</f>
        <v>22</v>
      </c>
      <c r="D209" s="630">
        <f>D210+D211+D212+D213+D214+D215+D216</f>
        <v>5</v>
      </c>
      <c r="E209" s="630">
        <f>E210+E211+E212+E213+E214+E215+E216</f>
        <v>14</v>
      </c>
      <c r="F209" s="630">
        <f>F210+F211+F212+F213+F214+F215+F216</f>
        <v>0</v>
      </c>
      <c r="G209" s="630">
        <f>G210+G211+G212+G213+G214+G215+G216</f>
        <v>14</v>
      </c>
      <c r="H209" s="630">
        <f aca="true" t="shared" si="72" ref="H209:N209">H210+H211+H212+H213+H214+H215+H216</f>
        <v>0</v>
      </c>
      <c r="I209" s="630">
        <f t="shared" si="72"/>
        <v>3</v>
      </c>
      <c r="J209" s="630">
        <f t="shared" si="72"/>
        <v>0</v>
      </c>
      <c r="K209" s="630">
        <f t="shared" si="72"/>
        <v>0</v>
      </c>
      <c r="L209" s="630">
        <f t="shared" si="72"/>
        <v>0</v>
      </c>
      <c r="M209" s="630">
        <f t="shared" si="72"/>
        <v>0</v>
      </c>
      <c r="N209" s="630">
        <f t="shared" si="72"/>
        <v>0</v>
      </c>
    </row>
    <row r="210" spans="1:14" ht="15.75" hidden="1">
      <c r="A210" s="505" t="s">
        <v>53</v>
      </c>
      <c r="B210" s="428" t="s">
        <v>138</v>
      </c>
      <c r="C210" s="635">
        <f aca="true" t="shared" si="73" ref="C210:C216">SUM(D210,E210,H210:N210)</f>
        <v>8</v>
      </c>
      <c r="D210" s="698">
        <v>1</v>
      </c>
      <c r="E210" s="632">
        <f aca="true" t="shared" si="74" ref="E210:E216">SUM(F210:G210)</f>
        <v>6</v>
      </c>
      <c r="F210" s="698"/>
      <c r="G210" s="698">
        <v>6</v>
      </c>
      <c r="H210" s="698">
        <v>0</v>
      </c>
      <c r="I210" s="698">
        <v>1</v>
      </c>
      <c r="J210" s="698">
        <v>0</v>
      </c>
      <c r="K210" s="698">
        <v>0</v>
      </c>
      <c r="L210" s="698">
        <v>0</v>
      </c>
      <c r="M210" s="677"/>
      <c r="N210" s="677"/>
    </row>
    <row r="211" spans="1:14" ht="15.75" hidden="1">
      <c r="A211" s="505" t="s">
        <v>54</v>
      </c>
      <c r="B211" s="428" t="s">
        <v>139</v>
      </c>
      <c r="C211" s="635">
        <f t="shared" si="73"/>
        <v>0</v>
      </c>
      <c r="D211" s="698">
        <v>0</v>
      </c>
      <c r="E211" s="632">
        <f t="shared" si="74"/>
        <v>0</v>
      </c>
      <c r="F211" s="698">
        <v>0</v>
      </c>
      <c r="G211" s="698"/>
      <c r="H211" s="698">
        <v>0</v>
      </c>
      <c r="I211" s="698">
        <v>0</v>
      </c>
      <c r="J211" s="698">
        <v>0</v>
      </c>
      <c r="K211" s="698">
        <v>0</v>
      </c>
      <c r="L211" s="698">
        <v>0</v>
      </c>
      <c r="M211" s="677"/>
      <c r="N211" s="677"/>
    </row>
    <row r="212" spans="1:14" ht="15.75" hidden="1">
      <c r="A212" s="505" t="s">
        <v>140</v>
      </c>
      <c r="B212" s="428" t="s">
        <v>141</v>
      </c>
      <c r="C212" s="635">
        <f t="shared" si="73"/>
        <v>14</v>
      </c>
      <c r="D212" s="688">
        <f>1+3</f>
        <v>4</v>
      </c>
      <c r="E212" s="632">
        <f t="shared" si="74"/>
        <v>8</v>
      </c>
      <c r="F212" s="688">
        <v>0</v>
      </c>
      <c r="G212" s="688">
        <v>8</v>
      </c>
      <c r="H212" s="698"/>
      <c r="I212" s="825">
        <v>2</v>
      </c>
      <c r="J212" s="698">
        <v>0</v>
      </c>
      <c r="K212" s="698">
        <v>0</v>
      </c>
      <c r="L212" s="698">
        <v>0</v>
      </c>
      <c r="M212" s="677"/>
      <c r="N212" s="677"/>
    </row>
    <row r="213" spans="1:14" ht="19.5" customHeight="1" hidden="1">
      <c r="A213" s="505" t="s">
        <v>142</v>
      </c>
      <c r="B213" s="428" t="s">
        <v>143</v>
      </c>
      <c r="C213" s="636">
        <f t="shared" si="73"/>
        <v>0</v>
      </c>
      <c r="D213" s="698">
        <v>0</v>
      </c>
      <c r="E213" s="637">
        <f t="shared" si="74"/>
        <v>0</v>
      </c>
      <c r="F213" s="698">
        <v>0</v>
      </c>
      <c r="G213" s="698">
        <v>0</v>
      </c>
      <c r="H213" s="698">
        <v>0</v>
      </c>
      <c r="I213" s="698">
        <v>0</v>
      </c>
      <c r="J213" s="698">
        <v>0</v>
      </c>
      <c r="K213" s="698">
        <v>0</v>
      </c>
      <c r="L213" s="698">
        <v>0</v>
      </c>
      <c r="M213" s="677"/>
      <c r="N213" s="677"/>
    </row>
    <row r="214" spans="1:14" ht="15.75" hidden="1">
      <c r="A214" s="505" t="s">
        <v>144</v>
      </c>
      <c r="B214" s="428" t="s">
        <v>145</v>
      </c>
      <c r="C214" s="635">
        <f t="shared" si="73"/>
        <v>0</v>
      </c>
      <c r="D214" s="642"/>
      <c r="E214" s="632">
        <f t="shared" si="74"/>
        <v>0</v>
      </c>
      <c r="F214" s="681"/>
      <c r="G214" s="681"/>
      <c r="H214" s="677"/>
      <c r="I214" s="677"/>
      <c r="J214" s="677"/>
      <c r="K214" s="677"/>
      <c r="L214" s="677"/>
      <c r="M214" s="677"/>
      <c r="N214" s="677">
        <v>0</v>
      </c>
    </row>
    <row r="215" spans="1:14" ht="0.75" customHeight="1">
      <c r="A215" s="505" t="s">
        <v>146</v>
      </c>
      <c r="B215" s="430" t="s">
        <v>147</v>
      </c>
      <c r="C215" s="635">
        <f t="shared" si="73"/>
        <v>0</v>
      </c>
      <c r="D215" s="642"/>
      <c r="E215" s="632">
        <f t="shared" si="74"/>
        <v>0</v>
      </c>
      <c r="F215" s="677"/>
      <c r="G215" s="677"/>
      <c r="H215" s="677"/>
      <c r="I215" s="677"/>
      <c r="J215" s="677"/>
      <c r="K215" s="677"/>
      <c r="L215" s="677"/>
      <c r="M215" s="677"/>
      <c r="N215" s="677"/>
    </row>
    <row r="216" spans="1:14" ht="15.75" hidden="1">
      <c r="A216" s="505" t="s">
        <v>148</v>
      </c>
      <c r="B216" s="428" t="s">
        <v>149</v>
      </c>
      <c r="C216" s="635">
        <f t="shared" si="73"/>
        <v>0</v>
      </c>
      <c r="D216" s="642"/>
      <c r="E216" s="632">
        <f t="shared" si="74"/>
        <v>0</v>
      </c>
      <c r="F216" s="405">
        <f>0+0+0</f>
        <v>0</v>
      </c>
      <c r="G216" s="654"/>
      <c r="H216" s="654">
        <f>0+0+0</f>
        <v>0</v>
      </c>
      <c r="I216" s="654"/>
      <c r="J216" s="654"/>
      <c r="K216" s="654"/>
      <c r="L216" s="654"/>
      <c r="M216" s="654"/>
      <c r="N216" s="654"/>
    </row>
    <row r="217" spans="1:14" ht="15" hidden="1">
      <c r="A217" s="506" t="s">
        <v>52</v>
      </c>
      <c r="B217" s="394" t="s">
        <v>150</v>
      </c>
      <c r="C217" s="630">
        <f>SUM(D217,E217,H217:N217)</f>
        <v>9</v>
      </c>
      <c r="D217" s="630">
        <f>D208-D209</f>
        <v>2</v>
      </c>
      <c r="E217" s="631">
        <f>SUM(F217:G217)</f>
        <v>7</v>
      </c>
      <c r="F217" s="630">
        <f aca="true" t="shared" si="75" ref="F217:N217">F208-F209</f>
        <v>0</v>
      </c>
      <c r="G217" s="630">
        <f t="shared" si="75"/>
        <v>7</v>
      </c>
      <c r="H217" s="630">
        <f t="shared" si="75"/>
        <v>0</v>
      </c>
      <c r="I217" s="630">
        <f t="shared" si="75"/>
        <v>0</v>
      </c>
      <c r="J217" s="630">
        <f t="shared" si="75"/>
        <v>0</v>
      </c>
      <c r="K217" s="630">
        <f t="shared" si="75"/>
        <v>0</v>
      </c>
      <c r="L217" s="630">
        <f t="shared" si="75"/>
        <v>0</v>
      </c>
      <c r="M217" s="630">
        <f t="shared" si="75"/>
        <v>0</v>
      </c>
      <c r="N217" s="630">
        <f t="shared" si="75"/>
        <v>0</v>
      </c>
    </row>
    <row r="218" spans="1:14" ht="25.5" hidden="1">
      <c r="A218" s="506" t="s">
        <v>538</v>
      </c>
      <c r="B218" s="431" t="s">
        <v>151</v>
      </c>
      <c r="C218" s="412">
        <f>(C210+C211)/C209</f>
        <v>0.36363636363636365</v>
      </c>
      <c r="D218" s="412">
        <f aca="true" t="shared" si="76" ref="D218:N218">(D210+C211)/D209</f>
        <v>0.2</v>
      </c>
      <c r="E218" s="412">
        <f t="shared" si="76"/>
        <v>0.42857142857142855</v>
      </c>
      <c r="F218" s="412" t="e">
        <f t="shared" si="76"/>
        <v>#DIV/0!</v>
      </c>
      <c r="G218" s="412">
        <f t="shared" si="76"/>
        <v>0.42857142857142855</v>
      </c>
      <c r="H218" s="412" t="e">
        <f t="shared" si="76"/>
        <v>#DIV/0!</v>
      </c>
      <c r="I218" s="412">
        <f t="shared" si="76"/>
        <v>0.3333333333333333</v>
      </c>
      <c r="J218" s="412" t="e">
        <f t="shared" si="76"/>
        <v>#DIV/0!</v>
      </c>
      <c r="K218" s="412" t="e">
        <f t="shared" si="76"/>
        <v>#DIV/0!</v>
      </c>
      <c r="L218" s="412" t="e">
        <f t="shared" si="76"/>
        <v>#DIV/0!</v>
      </c>
      <c r="M218" s="412" t="e">
        <f t="shared" si="76"/>
        <v>#DIV/0!</v>
      </c>
      <c r="N218" s="412" t="e">
        <f t="shared" si="76"/>
        <v>#DIV/0!</v>
      </c>
    </row>
  </sheetData>
  <sheetProtection/>
  <mergeCells count="145">
    <mergeCell ref="A202:B202"/>
    <mergeCell ref="J199:J201"/>
    <mergeCell ref="K199:K201"/>
    <mergeCell ref="L199:L201"/>
    <mergeCell ref="M199:M201"/>
    <mergeCell ref="N199:N201"/>
    <mergeCell ref="E200:E201"/>
    <mergeCell ref="F200:G200"/>
    <mergeCell ref="A178:B178"/>
    <mergeCell ref="A198:B201"/>
    <mergeCell ref="C198:C201"/>
    <mergeCell ref="D198:N198"/>
    <mergeCell ref="D199:D201"/>
    <mergeCell ref="E199:G199"/>
    <mergeCell ref="H199:H201"/>
    <mergeCell ref="I199:I201"/>
    <mergeCell ref="I175:I177"/>
    <mergeCell ref="J175:J177"/>
    <mergeCell ref="K175:K177"/>
    <mergeCell ref="F152:G152"/>
    <mergeCell ref="H151:H153"/>
    <mergeCell ref="I151:I153"/>
    <mergeCell ref="J151:J153"/>
    <mergeCell ref="F176:G176"/>
    <mergeCell ref="H175:H177"/>
    <mergeCell ref="A154:B154"/>
    <mergeCell ref="A174:B177"/>
    <mergeCell ref="C174:C177"/>
    <mergeCell ref="D174:N174"/>
    <mergeCell ref="D175:D177"/>
    <mergeCell ref="E175:G175"/>
    <mergeCell ref="M175:M177"/>
    <mergeCell ref="N175:N177"/>
    <mergeCell ref="L175:L177"/>
    <mergeCell ref="E176:E177"/>
    <mergeCell ref="N128:N130"/>
    <mergeCell ref="E129:E130"/>
    <mergeCell ref="F129:G129"/>
    <mergeCell ref="A131:B131"/>
    <mergeCell ref="A150:B153"/>
    <mergeCell ref="C150:C153"/>
    <mergeCell ref="D150:N150"/>
    <mergeCell ref="D151:D153"/>
    <mergeCell ref="E151:G151"/>
    <mergeCell ref="K151:K153"/>
    <mergeCell ref="M151:M153"/>
    <mergeCell ref="L151:L153"/>
    <mergeCell ref="N151:N153"/>
    <mergeCell ref="E152:E153"/>
    <mergeCell ref="A127:B130"/>
    <mergeCell ref="C127:C130"/>
    <mergeCell ref="D127:N127"/>
    <mergeCell ref="D128:D130"/>
    <mergeCell ref="E128:G128"/>
    <mergeCell ref="H128:H130"/>
    <mergeCell ref="I128:I130"/>
    <mergeCell ref="J128:J130"/>
    <mergeCell ref="K128:K130"/>
    <mergeCell ref="L128:L130"/>
    <mergeCell ref="L105:L107"/>
    <mergeCell ref="M105:M107"/>
    <mergeCell ref="M128:M130"/>
    <mergeCell ref="E106:E107"/>
    <mergeCell ref="F106:G106"/>
    <mergeCell ref="A108:B108"/>
    <mergeCell ref="A85:B85"/>
    <mergeCell ref="A104:B107"/>
    <mergeCell ref="C104:C107"/>
    <mergeCell ref="L82:L84"/>
    <mergeCell ref="M82:M84"/>
    <mergeCell ref="D104:N104"/>
    <mergeCell ref="D105:D107"/>
    <mergeCell ref="E105:G105"/>
    <mergeCell ref="H105:H107"/>
    <mergeCell ref="I105:I107"/>
    <mergeCell ref="J105:J107"/>
    <mergeCell ref="K105:K107"/>
    <mergeCell ref="N105:N107"/>
    <mergeCell ref="J59:J61"/>
    <mergeCell ref="K59:K61"/>
    <mergeCell ref="J82:J84"/>
    <mergeCell ref="K82:K84"/>
    <mergeCell ref="F83:G83"/>
    <mergeCell ref="E60:E61"/>
    <mergeCell ref="F60:G60"/>
    <mergeCell ref="I59:I61"/>
    <mergeCell ref="H59:H61"/>
    <mergeCell ref="A62:B62"/>
    <mergeCell ref="A81:B84"/>
    <mergeCell ref="C81:C84"/>
    <mergeCell ref="D81:N81"/>
    <mergeCell ref="D82:D84"/>
    <mergeCell ref="E82:G82"/>
    <mergeCell ref="H82:H84"/>
    <mergeCell ref="I82:I84"/>
    <mergeCell ref="N82:N84"/>
    <mergeCell ref="E83:E84"/>
    <mergeCell ref="J36:J38"/>
    <mergeCell ref="K36:K38"/>
    <mergeCell ref="L36:L38"/>
    <mergeCell ref="M36:M38"/>
    <mergeCell ref="A39:B39"/>
    <mergeCell ref="A58:B61"/>
    <mergeCell ref="C58:C61"/>
    <mergeCell ref="D58:N58"/>
    <mergeCell ref="D59:D61"/>
    <mergeCell ref="E59:G59"/>
    <mergeCell ref="N59:N61"/>
    <mergeCell ref="L59:L61"/>
    <mergeCell ref="M59:M61"/>
    <mergeCell ref="A35:B38"/>
    <mergeCell ref="C35:C38"/>
    <mergeCell ref="D35:N35"/>
    <mergeCell ref="D36:D38"/>
    <mergeCell ref="E36:G36"/>
    <mergeCell ref="N36:N38"/>
    <mergeCell ref="E37:E38"/>
    <mergeCell ref="F37:G37"/>
    <mergeCell ref="H36:H38"/>
    <mergeCell ref="I36:I38"/>
    <mergeCell ref="L3:N3"/>
    <mergeCell ref="L4:N4"/>
    <mergeCell ref="L5:N5"/>
    <mergeCell ref="I7:I9"/>
    <mergeCell ref="D3:K3"/>
    <mergeCell ref="D6:N6"/>
    <mergeCell ref="D7:D9"/>
    <mergeCell ref="E7:G7"/>
    <mergeCell ref="A10:B10"/>
    <mergeCell ref="M7:M9"/>
    <mergeCell ref="N7:N9"/>
    <mergeCell ref="E8:E9"/>
    <mergeCell ref="L7:L9"/>
    <mergeCell ref="A6:B9"/>
    <mergeCell ref="C6:C9"/>
    <mergeCell ref="A1:B1"/>
    <mergeCell ref="D1:K1"/>
    <mergeCell ref="L1:N1"/>
    <mergeCell ref="D2:K2"/>
    <mergeCell ref="L2:N2"/>
    <mergeCell ref="O8:P8"/>
    <mergeCell ref="J7:J9"/>
    <mergeCell ref="K7:K9"/>
    <mergeCell ref="F8:G8"/>
    <mergeCell ref="H7:H9"/>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7"/>
  <sheetViews>
    <sheetView showZeros="0" zoomScale="80" zoomScaleNormal="80" zoomScaleSheetLayoutView="100" zoomScalePageLayoutView="0" workbookViewId="0" topLeftCell="A19">
      <selection activeCell="C27" sqref="C27"/>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297" t="s">
        <v>181</v>
      </c>
      <c r="B1" s="1298"/>
      <c r="C1" s="1298"/>
    </row>
    <row r="2" spans="1:3" ht="21.75" customHeight="1">
      <c r="A2" s="1299" t="s">
        <v>69</v>
      </c>
      <c r="B2" s="1299"/>
      <c r="C2" s="501" t="s">
        <v>339</v>
      </c>
    </row>
    <row r="3" spans="1:3" ht="21.75" customHeight="1">
      <c r="A3" s="1296" t="s">
        <v>6</v>
      </c>
      <c r="B3" s="1296"/>
      <c r="C3" s="5">
        <v>1</v>
      </c>
    </row>
    <row r="4" spans="1:3" ht="17.25" customHeight="1">
      <c r="A4" s="395" t="s">
        <v>51</v>
      </c>
      <c r="B4" s="517" t="s">
        <v>549</v>
      </c>
      <c r="C4" s="502">
        <f>C5+C6+C7+C8+C9+C10+C11</f>
        <v>12</v>
      </c>
    </row>
    <row r="5" spans="1:3" s="6" customFormat="1" ht="17.25" customHeight="1">
      <c r="A5" s="5" t="s">
        <v>53</v>
      </c>
      <c r="B5" s="518" t="s">
        <v>152</v>
      </c>
      <c r="C5" s="39"/>
    </row>
    <row r="6" spans="1:3" s="6" customFormat="1" ht="17.25" customHeight="1">
      <c r="A6" s="5" t="s">
        <v>54</v>
      </c>
      <c r="B6" s="518" t="s">
        <v>153</v>
      </c>
      <c r="C6" s="39"/>
    </row>
    <row r="7" spans="1:3" s="6" customFormat="1" ht="17.25" customHeight="1">
      <c r="A7" s="5" t="s">
        <v>140</v>
      </c>
      <c r="B7" s="518" t="s">
        <v>154</v>
      </c>
      <c r="C7" s="39">
        <f>8+4</f>
        <v>12</v>
      </c>
    </row>
    <row r="8" spans="1:3" s="6" customFormat="1" ht="17.25" customHeight="1">
      <c r="A8" s="5" t="s">
        <v>142</v>
      </c>
      <c r="B8" s="518" t="s">
        <v>155</v>
      </c>
      <c r="C8" s="39"/>
    </row>
    <row r="9" spans="1:3" s="6" customFormat="1" ht="17.25" customHeight="1">
      <c r="A9" s="5" t="s">
        <v>144</v>
      </c>
      <c r="B9" s="518" t="s">
        <v>156</v>
      </c>
      <c r="C9" s="39"/>
    </row>
    <row r="10" spans="1:3" s="6" customFormat="1" ht="17.25" customHeight="1">
      <c r="A10" s="5" t="s">
        <v>146</v>
      </c>
      <c r="B10" s="518" t="s">
        <v>157</v>
      </c>
      <c r="C10" s="39"/>
    </row>
    <row r="11" spans="1:3" s="6" customFormat="1" ht="17.25" customHeight="1">
      <c r="A11" s="5" t="s">
        <v>148</v>
      </c>
      <c r="B11" s="518" t="s">
        <v>159</v>
      </c>
      <c r="C11" s="39"/>
    </row>
    <row r="12" spans="1:3" s="32" customFormat="1" ht="17.25" customHeight="1">
      <c r="A12" s="395" t="s">
        <v>52</v>
      </c>
      <c r="B12" s="517" t="s">
        <v>548</v>
      </c>
      <c r="C12" s="502">
        <f>C13+C14</f>
        <v>0</v>
      </c>
    </row>
    <row r="13" spans="1:3" s="6" customFormat="1" ht="17.25" customHeight="1">
      <c r="A13" s="5" t="s">
        <v>55</v>
      </c>
      <c r="B13" s="518" t="s">
        <v>158</v>
      </c>
      <c r="C13" s="39"/>
    </row>
    <row r="14" spans="1:3" ht="17.25" customHeight="1">
      <c r="A14" s="5" t="s">
        <v>56</v>
      </c>
      <c r="B14" s="518" t="s">
        <v>159</v>
      </c>
      <c r="C14" s="39"/>
    </row>
    <row r="15" spans="1:3" ht="17.25" customHeight="1">
      <c r="A15" s="395" t="s">
        <v>57</v>
      </c>
      <c r="B15" s="517" t="s">
        <v>149</v>
      </c>
      <c r="C15" s="502">
        <f>C16+C17+C18</f>
        <v>5</v>
      </c>
    </row>
    <row r="16" spans="1:3" ht="17.25" customHeight="1">
      <c r="A16" s="5" t="s">
        <v>160</v>
      </c>
      <c r="B16" s="516" t="s">
        <v>161</v>
      </c>
      <c r="C16" s="39">
        <f>5</f>
        <v>5</v>
      </c>
    </row>
    <row r="17" spans="1:3" s="6" customFormat="1" ht="30">
      <c r="A17" s="5" t="s">
        <v>162</v>
      </c>
      <c r="B17" s="518" t="s">
        <v>163</v>
      </c>
      <c r="C17" s="39"/>
    </row>
    <row r="18" spans="1:3" s="6" customFormat="1" ht="17.25" customHeight="1">
      <c r="A18" s="5" t="s">
        <v>164</v>
      </c>
      <c r="B18" s="518" t="s">
        <v>165</v>
      </c>
      <c r="C18" s="39"/>
    </row>
    <row r="19" spans="1:3" s="6" customFormat="1" ht="17.25" customHeight="1">
      <c r="A19" s="395" t="s">
        <v>72</v>
      </c>
      <c r="B19" s="517" t="s">
        <v>547</v>
      </c>
      <c r="C19" s="502">
        <f>C20+C21+C22+C23+C24+C25</f>
        <v>11</v>
      </c>
    </row>
    <row r="20" spans="1:3" s="6" customFormat="1" ht="17.25" customHeight="1">
      <c r="A20" s="5" t="s">
        <v>166</v>
      </c>
      <c r="B20" s="518" t="s">
        <v>167</v>
      </c>
      <c r="C20" s="39">
        <f>2</f>
        <v>2</v>
      </c>
    </row>
    <row r="21" spans="1:3" s="6" customFormat="1" ht="17.25" customHeight="1">
      <c r="A21" s="5" t="s">
        <v>168</v>
      </c>
      <c r="B21" s="518" t="s">
        <v>169</v>
      </c>
      <c r="C21" s="39"/>
    </row>
    <row r="22" spans="1:3" s="6" customFormat="1" ht="17.25" customHeight="1">
      <c r="A22" s="5" t="s">
        <v>170</v>
      </c>
      <c r="B22" s="518" t="s">
        <v>171</v>
      </c>
      <c r="C22" s="39"/>
    </row>
    <row r="23" spans="1:3" s="6" customFormat="1" ht="17.25" customHeight="1">
      <c r="A23" s="5" t="s">
        <v>172</v>
      </c>
      <c r="B23" s="518" t="s">
        <v>155</v>
      </c>
      <c r="C23" s="781"/>
    </row>
    <row r="24" spans="1:3" s="6" customFormat="1" ht="17.25" customHeight="1">
      <c r="A24" s="5" t="s">
        <v>173</v>
      </c>
      <c r="B24" s="518" t="s">
        <v>156</v>
      </c>
      <c r="C24" s="39">
        <f>8+1</f>
        <v>9</v>
      </c>
    </row>
    <row r="25" spans="1:3" s="6" customFormat="1" ht="17.25" customHeight="1">
      <c r="A25" s="5" t="s">
        <v>174</v>
      </c>
      <c r="B25" s="518" t="s">
        <v>175</v>
      </c>
      <c r="C25" s="39"/>
    </row>
    <row r="26" spans="1:3" s="6" customFormat="1" ht="17.25" customHeight="1">
      <c r="A26" s="395" t="s">
        <v>73</v>
      </c>
      <c r="B26" s="517" t="s">
        <v>546</v>
      </c>
      <c r="C26" s="502">
        <f>C27+C28+C29</f>
        <v>819</v>
      </c>
    </row>
    <row r="27" spans="1:3" s="6" customFormat="1" ht="17.25" customHeight="1">
      <c r="A27" s="5" t="s">
        <v>176</v>
      </c>
      <c r="B27" s="518" t="s">
        <v>167</v>
      </c>
      <c r="C27" s="39">
        <v>816</v>
      </c>
    </row>
    <row r="28" spans="1:3" ht="17.25" customHeight="1">
      <c r="A28" s="5" t="s">
        <v>177</v>
      </c>
      <c r="B28" s="518" t="s">
        <v>169</v>
      </c>
      <c r="C28" s="39"/>
    </row>
    <row r="29" spans="1:3" s="6" customFormat="1" ht="17.25" customHeight="1">
      <c r="A29" s="5" t="s">
        <v>178</v>
      </c>
      <c r="B29" s="518" t="s">
        <v>179</v>
      </c>
      <c r="C29" s="39">
        <v>3</v>
      </c>
    </row>
    <row r="30" spans="1:3" ht="30.75" customHeight="1">
      <c r="A30" s="35"/>
      <c r="B30" s="1291" t="str">
        <f>'Thong tin'!B8</f>
        <v>Tuyên Quang, ngày 05 tháng 01 năm 2018</v>
      </c>
      <c r="C30" s="1291"/>
    </row>
    <row r="31" spans="1:3" ht="22.5" customHeight="1">
      <c r="A31" s="35"/>
      <c r="B31" s="404" t="s">
        <v>4</v>
      </c>
      <c r="C31" s="513" t="str">
        <f>'Thong tin'!B7</f>
        <v>CỤC TRƯỞNG</v>
      </c>
    </row>
    <row r="32" spans="2:3" s="36" customFormat="1" ht="18.75">
      <c r="B32" s="508"/>
      <c r="C32" s="402"/>
    </row>
    <row r="33" spans="2:3" ht="15.75" customHeight="1">
      <c r="B33" s="435"/>
      <c r="C33" s="742"/>
    </row>
    <row r="34" spans="2:3" ht="15.75" customHeight="1">
      <c r="B34" s="435"/>
      <c r="C34" s="402"/>
    </row>
    <row r="35" spans="2:3" ht="15.75" customHeight="1">
      <c r="B35" s="435"/>
      <c r="C35" s="403"/>
    </row>
    <row r="36" spans="2:3" ht="15.75" customHeight="1">
      <c r="B36" s="435"/>
      <c r="C36" s="403"/>
    </row>
    <row r="37" spans="2:3" ht="18.75">
      <c r="B37" s="509" t="str">
        <f>'Thong tin'!B5</f>
        <v>Duy Thị Thúy</v>
      </c>
      <c r="C37" s="509" t="str">
        <f>'Thong tin'!B6</f>
        <v>Nguyễn Tuyên </v>
      </c>
    </row>
    <row r="38" spans="2:3" ht="18.75">
      <c r="B38" s="403"/>
      <c r="C38" s="403"/>
    </row>
    <row r="39" spans="2:3" ht="18.75">
      <c r="B39" s="403"/>
      <c r="C39" s="403"/>
    </row>
    <row r="40" spans="2:3" ht="18.75" hidden="1">
      <c r="B40" s="403"/>
      <c r="C40" s="403"/>
    </row>
    <row r="41" ht="15.75" customHeight="1" hidden="1"/>
    <row r="42" ht="15.75" hidden="1"/>
    <row r="43" ht="15.75" hidden="1"/>
    <row r="44" spans="1:3" ht="16.5" customHeight="1" hidden="1">
      <c r="A44" s="1300" t="s">
        <v>181</v>
      </c>
      <c r="B44" s="1301"/>
      <c r="C44" s="1301"/>
    </row>
    <row r="45" spans="1:3" ht="18.75" hidden="1">
      <c r="A45" s="1294" t="s">
        <v>69</v>
      </c>
      <c r="B45" s="1295"/>
      <c r="C45" s="387" t="s">
        <v>339</v>
      </c>
    </row>
    <row r="46" spans="1:3" ht="15.75" hidden="1">
      <c r="A46" s="1292" t="s">
        <v>6</v>
      </c>
      <c r="B46" s="1293"/>
      <c r="C46" s="397">
        <v>1</v>
      </c>
    </row>
    <row r="47" spans="1:3" ht="19.5" customHeight="1" hidden="1">
      <c r="A47" s="395" t="s">
        <v>51</v>
      </c>
      <c r="B47" s="396" t="s">
        <v>347</v>
      </c>
      <c r="C47" s="398">
        <f>SUM(C48:C53)</f>
        <v>0</v>
      </c>
    </row>
    <row r="48" spans="1:3" ht="19.5" customHeight="1" hidden="1">
      <c r="A48" s="5" t="s">
        <v>53</v>
      </c>
      <c r="B48" s="34" t="s">
        <v>152</v>
      </c>
      <c r="C48" s="399"/>
    </row>
    <row r="49" spans="1:3" ht="19.5" customHeight="1" hidden="1">
      <c r="A49" s="5" t="s">
        <v>54</v>
      </c>
      <c r="B49" s="34" t="s">
        <v>153</v>
      </c>
      <c r="C49" s="399"/>
    </row>
    <row r="50" spans="1:3" ht="19.5" customHeight="1" hidden="1">
      <c r="A50" s="5" t="s">
        <v>140</v>
      </c>
      <c r="B50" s="34" t="s">
        <v>154</v>
      </c>
      <c r="C50" s="399"/>
    </row>
    <row r="51" spans="1:3" ht="19.5" customHeight="1" hidden="1">
      <c r="A51" s="5" t="s">
        <v>142</v>
      </c>
      <c r="B51" s="34" t="s">
        <v>155</v>
      </c>
      <c r="C51" s="399"/>
    </row>
    <row r="52" spans="1:3" ht="19.5" customHeight="1" hidden="1">
      <c r="A52" s="5" t="s">
        <v>144</v>
      </c>
      <c r="B52" s="34" t="s">
        <v>156</v>
      </c>
      <c r="C52" s="399"/>
    </row>
    <row r="53" spans="1:3" ht="19.5" customHeight="1" hidden="1">
      <c r="A53" s="5" t="s">
        <v>146</v>
      </c>
      <c r="B53" s="34" t="s">
        <v>157</v>
      </c>
      <c r="C53" s="399"/>
    </row>
    <row r="54" spans="1:3" ht="19.5" customHeight="1" hidden="1">
      <c r="A54" s="395" t="s">
        <v>52</v>
      </c>
      <c r="B54" s="396" t="s">
        <v>345</v>
      </c>
      <c r="C54" s="398">
        <f>SUM(C55:C56)</f>
        <v>0</v>
      </c>
    </row>
    <row r="55" spans="1:3" ht="19.5" customHeight="1" hidden="1">
      <c r="A55" s="5" t="s">
        <v>55</v>
      </c>
      <c r="B55" s="34" t="s">
        <v>158</v>
      </c>
      <c r="C55" s="399"/>
    </row>
    <row r="56" spans="1:3" ht="19.5" customHeight="1" hidden="1">
      <c r="A56" s="5" t="s">
        <v>56</v>
      </c>
      <c r="B56" s="34" t="s">
        <v>159</v>
      </c>
      <c r="C56" s="399"/>
    </row>
    <row r="57" spans="1:3" ht="19.5" customHeight="1" hidden="1">
      <c r="A57" s="395" t="s">
        <v>57</v>
      </c>
      <c r="B57" s="396" t="s">
        <v>149</v>
      </c>
      <c r="C57" s="398">
        <f>SUM(C58:C60)</f>
        <v>0</v>
      </c>
    </row>
    <row r="58" spans="1:3" ht="19.5" customHeight="1" hidden="1">
      <c r="A58" s="5" t="s">
        <v>160</v>
      </c>
      <c r="B58" s="37" t="s">
        <v>161</v>
      </c>
      <c r="C58" s="399"/>
    </row>
    <row r="59" spans="1:3" ht="19.5" customHeight="1" hidden="1">
      <c r="A59" s="5" t="s">
        <v>162</v>
      </c>
      <c r="B59" s="34" t="s">
        <v>163</v>
      </c>
      <c r="C59" s="399"/>
    </row>
    <row r="60" spans="1:3" ht="19.5" customHeight="1" hidden="1">
      <c r="A60" s="5" t="s">
        <v>164</v>
      </c>
      <c r="B60" s="34" t="s">
        <v>165</v>
      </c>
      <c r="C60" s="399"/>
    </row>
    <row r="61" spans="1:3" ht="19.5" customHeight="1" hidden="1">
      <c r="A61" s="395" t="s">
        <v>72</v>
      </c>
      <c r="B61" s="396" t="s">
        <v>346</v>
      </c>
      <c r="C61" s="398">
        <f>SUM(C62:C67)</f>
        <v>0</v>
      </c>
    </row>
    <row r="62" spans="1:3" ht="19.5" customHeight="1" hidden="1">
      <c r="A62" s="5" t="s">
        <v>166</v>
      </c>
      <c r="B62" s="34" t="s">
        <v>167</v>
      </c>
      <c r="C62" s="399"/>
    </row>
    <row r="63" spans="1:3" ht="19.5" customHeight="1" hidden="1">
      <c r="A63" s="5" t="s">
        <v>168</v>
      </c>
      <c r="B63" s="34" t="s">
        <v>169</v>
      </c>
      <c r="C63" s="399"/>
    </row>
    <row r="64" spans="1:3" ht="19.5" customHeight="1" hidden="1">
      <c r="A64" s="5" t="s">
        <v>170</v>
      </c>
      <c r="B64" s="34" t="s">
        <v>171</v>
      </c>
      <c r="C64" s="399"/>
    </row>
    <row r="65" spans="1:3" ht="19.5" customHeight="1" hidden="1">
      <c r="A65" s="5" t="s">
        <v>172</v>
      </c>
      <c r="B65" s="34" t="s">
        <v>155</v>
      </c>
      <c r="C65" s="399"/>
    </row>
    <row r="66" spans="1:3" ht="19.5" customHeight="1" hidden="1">
      <c r="A66" s="5" t="s">
        <v>173</v>
      </c>
      <c r="B66" s="34" t="s">
        <v>156</v>
      </c>
      <c r="C66" s="399"/>
    </row>
    <row r="67" spans="1:3" ht="19.5" customHeight="1" hidden="1">
      <c r="A67" s="5" t="s">
        <v>174</v>
      </c>
      <c r="B67" s="34" t="s">
        <v>175</v>
      </c>
      <c r="C67" s="399"/>
    </row>
    <row r="68" spans="1:3" ht="19.5" customHeight="1" hidden="1">
      <c r="A68" s="395" t="s">
        <v>73</v>
      </c>
      <c r="B68" s="396" t="s">
        <v>348</v>
      </c>
      <c r="C68" s="398">
        <f>SUM(C69:C71)</f>
        <v>25</v>
      </c>
    </row>
    <row r="69" spans="1:3" ht="19.5" customHeight="1" hidden="1">
      <c r="A69" s="5" t="s">
        <v>176</v>
      </c>
      <c r="B69" s="34" t="s">
        <v>167</v>
      </c>
      <c r="C69" s="399">
        <v>25</v>
      </c>
    </row>
    <row r="70" spans="1:3" ht="19.5" customHeight="1" hidden="1">
      <c r="A70" s="5" t="s">
        <v>177</v>
      </c>
      <c r="B70" s="34" t="s">
        <v>169</v>
      </c>
      <c r="C70" s="399">
        <v>0</v>
      </c>
    </row>
    <row r="71" spans="1:3" ht="19.5" customHeight="1" hidden="1">
      <c r="A71" s="5" t="s">
        <v>178</v>
      </c>
      <c r="B71" s="34" t="s">
        <v>179</v>
      </c>
      <c r="C71" s="399">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300" t="s">
        <v>181</v>
      </c>
      <c r="B82" s="1301"/>
      <c r="C82" s="1301"/>
    </row>
    <row r="83" spans="1:3" ht="18.75" hidden="1">
      <c r="A83" s="1294" t="s">
        <v>69</v>
      </c>
      <c r="B83" s="1295"/>
      <c r="C83" s="387" t="s">
        <v>339</v>
      </c>
    </row>
    <row r="84" spans="1:3" ht="24.75" customHeight="1" hidden="1">
      <c r="A84" s="1292" t="s">
        <v>6</v>
      </c>
      <c r="B84" s="1293"/>
      <c r="C84" s="397">
        <v>1</v>
      </c>
    </row>
    <row r="85" spans="1:3" ht="24.75" customHeight="1" hidden="1">
      <c r="A85" s="395" t="s">
        <v>51</v>
      </c>
      <c r="B85" s="396" t="s">
        <v>347</v>
      </c>
      <c r="C85" s="398">
        <f>SUM(C86:C91)</f>
        <v>2</v>
      </c>
    </row>
    <row r="86" spans="1:3" ht="24.75" customHeight="1" hidden="1">
      <c r="A86" s="5" t="s">
        <v>53</v>
      </c>
      <c r="B86" s="34" t="s">
        <v>152</v>
      </c>
      <c r="C86" s="399"/>
    </row>
    <row r="87" spans="1:3" ht="24.75" customHeight="1" hidden="1">
      <c r="A87" s="5" t="s">
        <v>54</v>
      </c>
      <c r="B87" s="34" t="s">
        <v>153</v>
      </c>
      <c r="C87" s="399"/>
    </row>
    <row r="88" spans="1:3" ht="24.75" customHeight="1" hidden="1">
      <c r="A88" s="5" t="s">
        <v>140</v>
      </c>
      <c r="B88" s="34" t="s">
        <v>154</v>
      </c>
      <c r="C88" s="399">
        <v>2</v>
      </c>
    </row>
    <row r="89" spans="1:3" ht="24.75" customHeight="1" hidden="1">
      <c r="A89" s="5" t="s">
        <v>142</v>
      </c>
      <c r="B89" s="34" t="s">
        <v>155</v>
      </c>
      <c r="C89" s="399"/>
    </row>
    <row r="90" spans="1:3" ht="24.75" customHeight="1" hidden="1">
      <c r="A90" s="5" t="s">
        <v>144</v>
      </c>
      <c r="B90" s="34" t="s">
        <v>156</v>
      </c>
      <c r="C90" s="399"/>
    </row>
    <row r="91" spans="1:3" ht="24.75" customHeight="1" hidden="1">
      <c r="A91" s="5" t="s">
        <v>146</v>
      </c>
      <c r="B91" s="34" t="s">
        <v>157</v>
      </c>
      <c r="C91" s="399"/>
    </row>
    <row r="92" spans="1:3" ht="24.75" customHeight="1" hidden="1">
      <c r="A92" s="395" t="s">
        <v>52</v>
      </c>
      <c r="B92" s="396" t="s">
        <v>345</v>
      </c>
      <c r="C92" s="398">
        <f>SUM(C93:C94)</f>
        <v>0</v>
      </c>
    </row>
    <row r="93" spans="1:3" ht="24.75" customHeight="1" hidden="1">
      <c r="A93" s="5" t="s">
        <v>55</v>
      </c>
      <c r="B93" s="34" t="s">
        <v>158</v>
      </c>
      <c r="C93" s="399"/>
    </row>
    <row r="94" spans="1:3" ht="24.75" customHeight="1" hidden="1">
      <c r="A94" s="5" t="s">
        <v>56</v>
      </c>
      <c r="B94" s="34" t="s">
        <v>159</v>
      </c>
      <c r="C94" s="399"/>
    </row>
    <row r="95" spans="1:3" ht="24.75" customHeight="1" hidden="1">
      <c r="A95" s="395" t="s">
        <v>57</v>
      </c>
      <c r="B95" s="396" t="s">
        <v>149</v>
      </c>
      <c r="C95" s="398">
        <f>SUM(C96:C98)</f>
        <v>0</v>
      </c>
    </row>
    <row r="96" spans="1:3" ht="24.75" customHeight="1" hidden="1">
      <c r="A96" s="5" t="s">
        <v>160</v>
      </c>
      <c r="B96" s="37" t="s">
        <v>161</v>
      </c>
      <c r="C96" s="399"/>
    </row>
    <row r="97" spans="1:3" ht="24.75" customHeight="1" hidden="1">
      <c r="A97" s="5" t="s">
        <v>162</v>
      </c>
      <c r="B97" s="34" t="s">
        <v>163</v>
      </c>
      <c r="C97" s="399"/>
    </row>
    <row r="98" spans="1:3" ht="24.75" customHeight="1" hidden="1">
      <c r="A98" s="5" t="s">
        <v>164</v>
      </c>
      <c r="B98" s="34" t="s">
        <v>165</v>
      </c>
      <c r="C98" s="399"/>
    </row>
    <row r="99" spans="1:3" ht="24.75" customHeight="1" hidden="1">
      <c r="A99" s="395" t="s">
        <v>72</v>
      </c>
      <c r="B99" s="396" t="s">
        <v>346</v>
      </c>
      <c r="C99" s="398">
        <f>SUM(C100:C105)</f>
        <v>0</v>
      </c>
    </row>
    <row r="100" spans="1:3" ht="24.75" customHeight="1" hidden="1">
      <c r="A100" s="5" t="s">
        <v>166</v>
      </c>
      <c r="B100" s="34" t="s">
        <v>167</v>
      </c>
      <c r="C100" s="399"/>
    </row>
    <row r="101" spans="1:3" ht="24.75" customHeight="1" hidden="1">
      <c r="A101" s="5" t="s">
        <v>168</v>
      </c>
      <c r="B101" s="34" t="s">
        <v>169</v>
      </c>
      <c r="C101" s="399"/>
    </row>
    <row r="102" spans="1:3" ht="24.75" customHeight="1" hidden="1">
      <c r="A102" s="5" t="s">
        <v>170</v>
      </c>
      <c r="B102" s="34" t="s">
        <v>171</v>
      </c>
      <c r="C102" s="399"/>
    </row>
    <row r="103" spans="1:3" ht="24.75" customHeight="1" hidden="1">
      <c r="A103" s="5" t="s">
        <v>172</v>
      </c>
      <c r="B103" s="34" t="s">
        <v>155</v>
      </c>
      <c r="C103" s="399"/>
    </row>
    <row r="104" spans="1:3" ht="24.75" customHeight="1" hidden="1">
      <c r="A104" s="5" t="s">
        <v>173</v>
      </c>
      <c r="B104" s="34" t="s">
        <v>156</v>
      </c>
      <c r="C104" s="399"/>
    </row>
    <row r="105" spans="1:3" ht="24.75" customHeight="1" hidden="1">
      <c r="A105" s="5" t="s">
        <v>174</v>
      </c>
      <c r="B105" s="34" t="s">
        <v>175</v>
      </c>
      <c r="C105" s="399"/>
    </row>
    <row r="106" spans="1:3" ht="24.75" customHeight="1" hidden="1">
      <c r="A106" s="395" t="s">
        <v>73</v>
      </c>
      <c r="B106" s="396" t="s">
        <v>348</v>
      </c>
      <c r="C106" s="398">
        <f>SUM(C107:C109)</f>
        <v>46</v>
      </c>
    </row>
    <row r="107" spans="1:3" ht="24.75" customHeight="1" hidden="1">
      <c r="A107" s="5" t="s">
        <v>176</v>
      </c>
      <c r="B107" s="34" t="s">
        <v>167</v>
      </c>
      <c r="C107" s="399">
        <v>43</v>
      </c>
    </row>
    <row r="108" spans="1:3" ht="24.75" customHeight="1" hidden="1">
      <c r="A108" s="5" t="s">
        <v>177</v>
      </c>
      <c r="B108" s="34" t="s">
        <v>169</v>
      </c>
      <c r="C108" s="399"/>
    </row>
    <row r="109" spans="1:3" ht="24.75" customHeight="1" hidden="1">
      <c r="A109" s="5" t="s">
        <v>178</v>
      </c>
      <c r="B109" s="34" t="s">
        <v>179</v>
      </c>
      <c r="C109" s="399">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300" t="s">
        <v>181</v>
      </c>
      <c r="B120" s="1301"/>
      <c r="C120" s="1301"/>
    </row>
    <row r="121" spans="1:3" ht="18.75" hidden="1">
      <c r="A121" s="1294" t="s">
        <v>69</v>
      </c>
      <c r="B121" s="1295"/>
      <c r="C121" s="387" t="s">
        <v>339</v>
      </c>
    </row>
    <row r="122" spans="1:3" ht="15.75" hidden="1">
      <c r="A122" s="1292" t="s">
        <v>6</v>
      </c>
      <c r="B122" s="1293"/>
      <c r="C122" s="397">
        <v>1</v>
      </c>
    </row>
    <row r="123" spans="1:3" ht="24.75" customHeight="1" hidden="1">
      <c r="A123" s="395" t="s">
        <v>51</v>
      </c>
      <c r="B123" s="396" t="s">
        <v>347</v>
      </c>
      <c r="C123" s="398">
        <f>SUM(C124:C129)</f>
        <v>0</v>
      </c>
    </row>
    <row r="124" spans="1:3" ht="24.75" customHeight="1" hidden="1">
      <c r="A124" s="5" t="s">
        <v>53</v>
      </c>
      <c r="B124" s="34" t="s">
        <v>152</v>
      </c>
      <c r="C124" s="399"/>
    </row>
    <row r="125" spans="1:3" ht="24.75" customHeight="1" hidden="1">
      <c r="A125" s="5" t="s">
        <v>54</v>
      </c>
      <c r="B125" s="34" t="s">
        <v>153</v>
      </c>
      <c r="C125" s="399"/>
    </row>
    <row r="126" spans="1:3" ht="24.75" customHeight="1" hidden="1">
      <c r="A126" s="5" t="s">
        <v>140</v>
      </c>
      <c r="B126" s="34" t="s">
        <v>154</v>
      </c>
      <c r="C126" s="399"/>
    </row>
    <row r="127" spans="1:3" ht="24.75" customHeight="1" hidden="1">
      <c r="A127" s="5" t="s">
        <v>142</v>
      </c>
      <c r="B127" s="34" t="s">
        <v>155</v>
      </c>
      <c r="C127" s="399"/>
    </row>
    <row r="128" spans="1:3" ht="24.75" customHeight="1" hidden="1">
      <c r="A128" s="5" t="s">
        <v>144</v>
      </c>
      <c r="B128" s="34" t="s">
        <v>156</v>
      </c>
      <c r="C128" s="399"/>
    </row>
    <row r="129" spans="1:3" ht="24.75" customHeight="1" hidden="1">
      <c r="A129" s="5" t="s">
        <v>146</v>
      </c>
      <c r="B129" s="34" t="s">
        <v>157</v>
      </c>
      <c r="C129" s="399"/>
    </row>
    <row r="130" spans="1:3" ht="24.75" customHeight="1" hidden="1">
      <c r="A130" s="395" t="s">
        <v>52</v>
      </c>
      <c r="B130" s="396" t="s">
        <v>345</v>
      </c>
      <c r="C130" s="398">
        <f>SUM(C131:C132)</f>
        <v>0</v>
      </c>
    </row>
    <row r="131" spans="1:3" ht="24.75" customHeight="1" hidden="1">
      <c r="A131" s="5" t="s">
        <v>55</v>
      </c>
      <c r="B131" s="34" t="s">
        <v>158</v>
      </c>
      <c r="C131" s="399"/>
    </row>
    <row r="132" spans="1:3" ht="24.75" customHeight="1" hidden="1">
      <c r="A132" s="5" t="s">
        <v>56</v>
      </c>
      <c r="B132" s="34" t="s">
        <v>159</v>
      </c>
      <c r="C132" s="399"/>
    </row>
    <row r="133" spans="1:3" ht="24.75" customHeight="1" hidden="1">
      <c r="A133" s="395" t="s">
        <v>57</v>
      </c>
      <c r="B133" s="396" t="s">
        <v>149</v>
      </c>
      <c r="C133" s="398">
        <f>SUM(C134:C136)</f>
        <v>12</v>
      </c>
    </row>
    <row r="134" spans="1:3" ht="24.75" customHeight="1" hidden="1">
      <c r="A134" s="5" t="s">
        <v>160</v>
      </c>
      <c r="B134" s="37" t="s">
        <v>161</v>
      </c>
      <c r="C134" s="399">
        <v>12</v>
      </c>
    </row>
    <row r="135" spans="1:3" ht="24.75" customHeight="1" hidden="1">
      <c r="A135" s="5" t="s">
        <v>162</v>
      </c>
      <c r="B135" s="34" t="s">
        <v>163</v>
      </c>
      <c r="C135" s="399"/>
    </row>
    <row r="136" spans="1:3" ht="24.75" customHeight="1" hidden="1">
      <c r="A136" s="5" t="s">
        <v>164</v>
      </c>
      <c r="B136" s="34" t="s">
        <v>165</v>
      </c>
      <c r="C136" s="399"/>
    </row>
    <row r="137" spans="1:3" ht="24.75" customHeight="1" hidden="1">
      <c r="A137" s="395" t="s">
        <v>72</v>
      </c>
      <c r="B137" s="396" t="s">
        <v>346</v>
      </c>
      <c r="C137" s="398">
        <f>SUM(C138:C143)</f>
        <v>0</v>
      </c>
    </row>
    <row r="138" spans="1:3" ht="24.75" customHeight="1" hidden="1">
      <c r="A138" s="5" t="s">
        <v>166</v>
      </c>
      <c r="B138" s="34" t="s">
        <v>167</v>
      </c>
      <c r="C138" s="399"/>
    </row>
    <row r="139" spans="1:3" ht="24.75" customHeight="1" hidden="1">
      <c r="A139" s="5" t="s">
        <v>168</v>
      </c>
      <c r="B139" s="34" t="s">
        <v>169</v>
      </c>
      <c r="C139" s="399"/>
    </row>
    <row r="140" spans="1:3" ht="24.75" customHeight="1" hidden="1">
      <c r="A140" s="5" t="s">
        <v>170</v>
      </c>
      <c r="B140" s="34" t="s">
        <v>171</v>
      </c>
      <c r="C140" s="399"/>
    </row>
    <row r="141" spans="1:3" ht="24.75" customHeight="1" hidden="1">
      <c r="A141" s="5" t="s">
        <v>172</v>
      </c>
      <c r="B141" s="34" t="s">
        <v>155</v>
      </c>
      <c r="C141" s="399"/>
    </row>
    <row r="142" spans="1:3" ht="24.75" customHeight="1" hidden="1">
      <c r="A142" s="5" t="s">
        <v>173</v>
      </c>
      <c r="B142" s="34" t="s">
        <v>156</v>
      </c>
      <c r="C142" s="399"/>
    </row>
    <row r="143" spans="1:3" ht="24.75" customHeight="1" hidden="1">
      <c r="A143" s="5" t="s">
        <v>174</v>
      </c>
      <c r="B143" s="34" t="s">
        <v>175</v>
      </c>
      <c r="C143" s="399"/>
    </row>
    <row r="144" spans="1:3" ht="24.75" customHeight="1" hidden="1">
      <c r="A144" s="395" t="s">
        <v>73</v>
      </c>
      <c r="B144" s="396" t="s">
        <v>348</v>
      </c>
      <c r="C144" s="398">
        <f>SUM(C145:C147)</f>
        <v>19</v>
      </c>
    </row>
    <row r="145" spans="1:3" ht="24.75" customHeight="1" hidden="1">
      <c r="A145" s="5" t="s">
        <v>176</v>
      </c>
      <c r="B145" s="34" t="s">
        <v>167</v>
      </c>
      <c r="C145" s="399"/>
    </row>
    <row r="146" spans="1:3" ht="24.75" customHeight="1" hidden="1">
      <c r="A146" s="5" t="s">
        <v>177</v>
      </c>
      <c r="B146" s="34" t="s">
        <v>169</v>
      </c>
      <c r="C146" s="399"/>
    </row>
    <row r="147" spans="1:3" ht="24.75" customHeight="1" hidden="1">
      <c r="A147" s="5" t="s">
        <v>178</v>
      </c>
      <c r="B147" s="34" t="s">
        <v>179</v>
      </c>
      <c r="C147" s="399">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300" t="s">
        <v>181</v>
      </c>
      <c r="B160" s="1301"/>
      <c r="C160" s="1301"/>
    </row>
    <row r="161" spans="1:3" ht="18.75" hidden="1">
      <c r="A161" s="1294" t="s">
        <v>69</v>
      </c>
      <c r="B161" s="1295"/>
      <c r="C161" s="387" t="s">
        <v>339</v>
      </c>
    </row>
    <row r="162" spans="1:3" ht="15.75" hidden="1">
      <c r="A162" s="1292" t="s">
        <v>6</v>
      </c>
      <c r="B162" s="1293"/>
      <c r="C162" s="397">
        <v>1</v>
      </c>
    </row>
    <row r="163" spans="1:3" ht="24.75" customHeight="1" hidden="1">
      <c r="A163" s="395" t="s">
        <v>51</v>
      </c>
      <c r="B163" s="396" t="s">
        <v>347</v>
      </c>
      <c r="C163" s="398">
        <f>SUM(C164:C169)</f>
        <v>0</v>
      </c>
    </row>
    <row r="164" spans="1:3" ht="24.75" customHeight="1" hidden="1">
      <c r="A164" s="5" t="s">
        <v>53</v>
      </c>
      <c r="B164" s="34" t="s">
        <v>152</v>
      </c>
      <c r="C164" s="399"/>
    </row>
    <row r="165" spans="1:3" ht="24.75" customHeight="1" hidden="1">
      <c r="A165" s="5" t="s">
        <v>54</v>
      </c>
      <c r="B165" s="34" t="s">
        <v>153</v>
      </c>
      <c r="C165" s="399"/>
    </row>
    <row r="166" spans="1:3" ht="24.75" customHeight="1" hidden="1">
      <c r="A166" s="5" t="s">
        <v>140</v>
      </c>
      <c r="B166" s="34" t="s">
        <v>154</v>
      </c>
      <c r="C166" s="399"/>
    </row>
    <row r="167" spans="1:3" ht="24.75" customHeight="1" hidden="1">
      <c r="A167" s="5" t="s">
        <v>142</v>
      </c>
      <c r="B167" s="34" t="s">
        <v>155</v>
      </c>
      <c r="C167" s="399"/>
    </row>
    <row r="168" spans="1:3" ht="24.75" customHeight="1" hidden="1">
      <c r="A168" s="5" t="s">
        <v>144</v>
      </c>
      <c r="B168" s="34" t="s">
        <v>156</v>
      </c>
      <c r="C168" s="399"/>
    </row>
    <row r="169" spans="1:3" ht="24.75" customHeight="1" hidden="1">
      <c r="A169" s="5" t="s">
        <v>146</v>
      </c>
      <c r="B169" s="34" t="s">
        <v>157</v>
      </c>
      <c r="C169" s="399"/>
    </row>
    <row r="170" spans="1:3" ht="24.75" customHeight="1" hidden="1">
      <c r="A170" s="395" t="s">
        <v>52</v>
      </c>
      <c r="B170" s="396" t="s">
        <v>345</v>
      </c>
      <c r="C170" s="398">
        <f>SUM(C171:C172)</f>
        <v>0</v>
      </c>
    </row>
    <row r="171" spans="1:3" ht="24.75" customHeight="1" hidden="1">
      <c r="A171" s="5" t="s">
        <v>55</v>
      </c>
      <c r="B171" s="34" t="s">
        <v>158</v>
      </c>
      <c r="C171" s="399"/>
    </row>
    <row r="172" spans="1:3" ht="24.75" customHeight="1" hidden="1">
      <c r="A172" s="5" t="s">
        <v>56</v>
      </c>
      <c r="B172" s="34" t="s">
        <v>159</v>
      </c>
      <c r="C172" s="399"/>
    </row>
    <row r="173" spans="1:3" ht="24.75" customHeight="1" hidden="1">
      <c r="A173" s="395" t="s">
        <v>57</v>
      </c>
      <c r="B173" s="396" t="s">
        <v>149</v>
      </c>
      <c r="C173" s="398">
        <f>SUM(C174:C176)</f>
        <v>0</v>
      </c>
    </row>
    <row r="174" spans="1:3" ht="24.75" customHeight="1" hidden="1">
      <c r="A174" s="5" t="s">
        <v>160</v>
      </c>
      <c r="B174" s="37" t="s">
        <v>161</v>
      </c>
      <c r="C174" s="399"/>
    </row>
    <row r="175" spans="1:3" ht="24.75" customHeight="1" hidden="1">
      <c r="A175" s="5" t="s">
        <v>162</v>
      </c>
      <c r="B175" s="34" t="s">
        <v>163</v>
      </c>
      <c r="C175" s="399"/>
    </row>
    <row r="176" spans="1:3" ht="24.75" customHeight="1" hidden="1">
      <c r="A176" s="5" t="s">
        <v>164</v>
      </c>
      <c r="B176" s="34" t="s">
        <v>165</v>
      </c>
      <c r="C176" s="399"/>
    </row>
    <row r="177" spans="1:3" ht="24.75" customHeight="1" hidden="1">
      <c r="A177" s="395" t="s">
        <v>72</v>
      </c>
      <c r="B177" s="396" t="s">
        <v>346</v>
      </c>
      <c r="C177" s="398">
        <f>SUM(C178:C183)</f>
        <v>1</v>
      </c>
    </row>
    <row r="178" spans="1:3" ht="24.75" customHeight="1" hidden="1">
      <c r="A178" s="5" t="s">
        <v>166</v>
      </c>
      <c r="B178" s="34" t="s">
        <v>167</v>
      </c>
      <c r="C178" s="399">
        <v>1</v>
      </c>
    </row>
    <row r="179" spans="1:3" ht="24.75" customHeight="1" hidden="1">
      <c r="A179" s="5" t="s">
        <v>168</v>
      </c>
      <c r="B179" s="34" t="s">
        <v>169</v>
      </c>
      <c r="C179" s="399">
        <v>0</v>
      </c>
    </row>
    <row r="180" spans="1:3" ht="24.75" customHeight="1" hidden="1">
      <c r="A180" s="5" t="s">
        <v>170</v>
      </c>
      <c r="B180" s="34" t="s">
        <v>171</v>
      </c>
      <c r="C180" s="399">
        <v>0</v>
      </c>
    </row>
    <row r="181" spans="1:3" ht="24.75" customHeight="1" hidden="1">
      <c r="A181" s="5" t="s">
        <v>172</v>
      </c>
      <c r="B181" s="34" t="s">
        <v>155</v>
      </c>
      <c r="C181" s="399">
        <v>0</v>
      </c>
    </row>
    <row r="182" spans="1:3" ht="24.75" customHeight="1" hidden="1">
      <c r="A182" s="5" t="s">
        <v>173</v>
      </c>
      <c r="B182" s="34" t="s">
        <v>156</v>
      </c>
      <c r="C182" s="399">
        <v>0</v>
      </c>
    </row>
    <row r="183" spans="1:3" ht="24.75" customHeight="1" hidden="1">
      <c r="A183" s="5" t="s">
        <v>174</v>
      </c>
      <c r="B183" s="34" t="s">
        <v>175</v>
      </c>
      <c r="C183" s="399">
        <v>0</v>
      </c>
    </row>
    <row r="184" spans="1:3" ht="24.75" customHeight="1" hidden="1">
      <c r="A184" s="395" t="s">
        <v>73</v>
      </c>
      <c r="B184" s="396" t="s">
        <v>348</v>
      </c>
      <c r="C184" s="398">
        <f>SUM(C185:C187)</f>
        <v>74</v>
      </c>
    </row>
    <row r="185" spans="1:3" ht="24.75" customHeight="1" hidden="1">
      <c r="A185" s="5" t="s">
        <v>176</v>
      </c>
      <c r="B185" s="34" t="s">
        <v>167</v>
      </c>
      <c r="C185" s="399">
        <v>66</v>
      </c>
    </row>
    <row r="186" spans="1:3" ht="24.75" customHeight="1" hidden="1">
      <c r="A186" s="5" t="s">
        <v>177</v>
      </c>
      <c r="B186" s="34" t="s">
        <v>169</v>
      </c>
      <c r="C186" s="399">
        <v>0</v>
      </c>
    </row>
    <row r="187" spans="1:3" ht="24.75" customHeight="1" hidden="1">
      <c r="A187" s="5" t="s">
        <v>178</v>
      </c>
      <c r="B187" s="34" t="s">
        <v>179</v>
      </c>
      <c r="C187" s="399">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300" t="s">
        <v>181</v>
      </c>
      <c r="B199" s="1301"/>
      <c r="C199" s="1301"/>
    </row>
    <row r="200" spans="1:3" ht="18.75" hidden="1">
      <c r="A200" s="1294" t="s">
        <v>69</v>
      </c>
      <c r="B200" s="1295"/>
      <c r="C200" s="387" t="s">
        <v>339</v>
      </c>
    </row>
    <row r="201" spans="1:3" ht="15.75" hidden="1">
      <c r="A201" s="1292" t="s">
        <v>6</v>
      </c>
      <c r="B201" s="1293"/>
      <c r="C201" s="397">
        <v>1</v>
      </c>
    </row>
    <row r="202" spans="1:3" ht="24.75" customHeight="1" hidden="1">
      <c r="A202" s="395" t="s">
        <v>51</v>
      </c>
      <c r="B202" s="396" t="s">
        <v>347</v>
      </c>
      <c r="C202" s="398">
        <f>SUM(C203:C208)</f>
        <v>0</v>
      </c>
    </row>
    <row r="203" spans="1:3" ht="24.75" customHeight="1" hidden="1">
      <c r="A203" s="5" t="s">
        <v>53</v>
      </c>
      <c r="B203" s="34" t="s">
        <v>152</v>
      </c>
      <c r="C203" s="399"/>
    </row>
    <row r="204" spans="1:3" ht="24.75" customHeight="1" hidden="1">
      <c r="A204" s="5" t="s">
        <v>54</v>
      </c>
      <c r="B204" s="34" t="s">
        <v>153</v>
      </c>
      <c r="C204" s="399"/>
    </row>
    <row r="205" spans="1:3" ht="24.75" customHeight="1" hidden="1">
      <c r="A205" s="5" t="s">
        <v>140</v>
      </c>
      <c r="B205" s="34" t="s">
        <v>154</v>
      </c>
      <c r="C205" s="399"/>
    </row>
    <row r="206" spans="1:3" ht="24.75" customHeight="1" hidden="1">
      <c r="A206" s="5" t="s">
        <v>142</v>
      </c>
      <c r="B206" s="34" t="s">
        <v>155</v>
      </c>
      <c r="C206" s="399"/>
    </row>
    <row r="207" spans="1:3" ht="24.75" customHeight="1" hidden="1">
      <c r="A207" s="5" t="s">
        <v>144</v>
      </c>
      <c r="B207" s="34" t="s">
        <v>156</v>
      </c>
      <c r="C207" s="399"/>
    </row>
    <row r="208" spans="1:3" ht="24.75" customHeight="1" hidden="1">
      <c r="A208" s="5" t="s">
        <v>146</v>
      </c>
      <c r="B208" s="34" t="s">
        <v>157</v>
      </c>
      <c r="C208" s="399"/>
    </row>
    <row r="209" spans="1:3" ht="24.75" customHeight="1" hidden="1">
      <c r="A209" s="395" t="s">
        <v>52</v>
      </c>
      <c r="B209" s="396" t="s">
        <v>345</v>
      </c>
      <c r="C209" s="398">
        <f>SUM(C210:C211)</f>
        <v>0</v>
      </c>
    </row>
    <row r="210" spans="1:3" ht="24.75" customHeight="1" hidden="1">
      <c r="A210" s="5" t="s">
        <v>55</v>
      </c>
      <c r="B210" s="34" t="s">
        <v>158</v>
      </c>
      <c r="C210" s="399"/>
    </row>
    <row r="211" spans="1:3" ht="24.75" customHeight="1" hidden="1">
      <c r="A211" s="5" t="s">
        <v>56</v>
      </c>
      <c r="B211" s="34" t="s">
        <v>159</v>
      </c>
      <c r="C211" s="399"/>
    </row>
    <row r="212" spans="1:3" ht="24.75" customHeight="1" hidden="1">
      <c r="A212" s="395" t="s">
        <v>57</v>
      </c>
      <c r="B212" s="396" t="s">
        <v>149</v>
      </c>
      <c r="C212" s="398">
        <f>SUM(C213:C215)</f>
        <v>0</v>
      </c>
    </row>
    <row r="213" spans="1:3" ht="24.75" customHeight="1" hidden="1">
      <c r="A213" s="5" t="s">
        <v>160</v>
      </c>
      <c r="B213" s="37" t="s">
        <v>161</v>
      </c>
      <c r="C213" s="399"/>
    </row>
    <row r="214" spans="1:3" ht="24.75" customHeight="1" hidden="1">
      <c r="A214" s="5" t="s">
        <v>162</v>
      </c>
      <c r="B214" s="34" t="s">
        <v>163</v>
      </c>
      <c r="C214" s="399"/>
    </row>
    <row r="215" spans="1:3" ht="24.75" customHeight="1" hidden="1">
      <c r="A215" s="5" t="s">
        <v>164</v>
      </c>
      <c r="B215" s="34" t="s">
        <v>165</v>
      </c>
      <c r="C215" s="399"/>
    </row>
    <row r="216" spans="1:3" ht="24.75" customHeight="1" hidden="1">
      <c r="A216" s="395" t="s">
        <v>72</v>
      </c>
      <c r="B216" s="396" t="s">
        <v>346</v>
      </c>
      <c r="C216" s="398">
        <f>SUM(C217:C222)</f>
        <v>0</v>
      </c>
    </row>
    <row r="217" spans="1:3" ht="24.75" customHeight="1" hidden="1">
      <c r="A217" s="5" t="s">
        <v>166</v>
      </c>
      <c r="B217" s="34" t="s">
        <v>167</v>
      </c>
      <c r="C217" s="399"/>
    </row>
    <row r="218" spans="1:3" ht="24.75" customHeight="1" hidden="1">
      <c r="A218" s="5" t="s">
        <v>168</v>
      </c>
      <c r="B218" s="34" t="s">
        <v>169</v>
      </c>
      <c r="C218" s="399"/>
    </row>
    <row r="219" spans="1:3" ht="24.75" customHeight="1" hidden="1">
      <c r="A219" s="5" t="s">
        <v>170</v>
      </c>
      <c r="B219" s="34" t="s">
        <v>171</v>
      </c>
      <c r="C219" s="399"/>
    </row>
    <row r="220" spans="1:3" ht="24.75" customHeight="1" hidden="1">
      <c r="A220" s="5" t="s">
        <v>172</v>
      </c>
      <c r="B220" s="34" t="s">
        <v>155</v>
      </c>
      <c r="C220" s="399"/>
    </row>
    <row r="221" spans="1:3" ht="24.75" customHeight="1" hidden="1">
      <c r="A221" s="5" t="s">
        <v>173</v>
      </c>
      <c r="B221" s="34" t="s">
        <v>156</v>
      </c>
      <c r="C221" s="399"/>
    </row>
    <row r="222" spans="1:3" ht="24.75" customHeight="1" hidden="1">
      <c r="A222" s="5" t="s">
        <v>174</v>
      </c>
      <c r="B222" s="34" t="s">
        <v>175</v>
      </c>
      <c r="C222" s="399"/>
    </row>
    <row r="223" spans="1:3" ht="24.75" customHeight="1" hidden="1">
      <c r="A223" s="395" t="s">
        <v>73</v>
      </c>
      <c r="B223" s="396" t="s">
        <v>348</v>
      </c>
      <c r="C223" s="398">
        <f>SUM(C224:C226)</f>
        <v>7</v>
      </c>
    </row>
    <row r="224" spans="1:3" ht="24.75" customHeight="1" hidden="1">
      <c r="A224" s="5" t="s">
        <v>176</v>
      </c>
      <c r="B224" s="34" t="s">
        <v>167</v>
      </c>
      <c r="C224" s="399">
        <v>7</v>
      </c>
    </row>
    <row r="225" spans="1:3" ht="24.75" customHeight="1" hidden="1">
      <c r="A225" s="5" t="s">
        <v>177</v>
      </c>
      <c r="B225" s="34" t="s">
        <v>169</v>
      </c>
      <c r="C225" s="399">
        <v>0</v>
      </c>
    </row>
    <row r="226" spans="1:3" ht="24.75" customHeight="1" hidden="1">
      <c r="A226" s="5" t="s">
        <v>178</v>
      </c>
      <c r="B226" s="34" t="s">
        <v>179</v>
      </c>
      <c r="C226" s="399">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300" t="s">
        <v>181</v>
      </c>
      <c r="B237" s="1301"/>
      <c r="C237" s="1301"/>
    </row>
    <row r="238" spans="1:3" ht="18.75" hidden="1">
      <c r="A238" s="1294" t="s">
        <v>69</v>
      </c>
      <c r="B238" s="1295"/>
      <c r="C238" s="387" t="s">
        <v>339</v>
      </c>
    </row>
    <row r="239" spans="1:3" ht="15.75" hidden="1">
      <c r="A239" s="1292" t="s">
        <v>6</v>
      </c>
      <c r="B239" s="1293"/>
      <c r="C239" s="397">
        <v>1</v>
      </c>
    </row>
    <row r="240" spans="1:3" ht="24.75" customHeight="1" hidden="1">
      <c r="A240" s="395" t="s">
        <v>51</v>
      </c>
      <c r="B240" s="396" t="s">
        <v>347</v>
      </c>
      <c r="C240" s="398">
        <f>SUM(C241:C246)</f>
        <v>0</v>
      </c>
    </row>
    <row r="241" spans="1:3" ht="24.75" customHeight="1" hidden="1">
      <c r="A241" s="5" t="s">
        <v>53</v>
      </c>
      <c r="B241" s="34" t="s">
        <v>152</v>
      </c>
      <c r="C241" s="399"/>
    </row>
    <row r="242" spans="1:3" ht="24.75" customHeight="1" hidden="1">
      <c r="A242" s="5" t="s">
        <v>54</v>
      </c>
      <c r="B242" s="34" t="s">
        <v>153</v>
      </c>
      <c r="C242" s="399"/>
    </row>
    <row r="243" spans="1:3" ht="24.75" customHeight="1" hidden="1">
      <c r="A243" s="5" t="s">
        <v>140</v>
      </c>
      <c r="B243" s="34" t="s">
        <v>154</v>
      </c>
      <c r="C243" s="399"/>
    </row>
    <row r="244" spans="1:3" ht="24.75" customHeight="1" hidden="1">
      <c r="A244" s="5" t="s">
        <v>142</v>
      </c>
      <c r="B244" s="34" t="s">
        <v>155</v>
      </c>
      <c r="C244" s="399"/>
    </row>
    <row r="245" spans="1:3" ht="24.75" customHeight="1" hidden="1">
      <c r="A245" s="5" t="s">
        <v>144</v>
      </c>
      <c r="B245" s="34" t="s">
        <v>156</v>
      </c>
      <c r="C245" s="399"/>
    </row>
    <row r="246" spans="1:3" ht="24.75" customHeight="1" hidden="1">
      <c r="A246" s="5" t="s">
        <v>146</v>
      </c>
      <c r="B246" s="34" t="s">
        <v>157</v>
      </c>
      <c r="C246" s="399"/>
    </row>
    <row r="247" spans="1:3" ht="24.75" customHeight="1" hidden="1">
      <c r="A247" s="395" t="s">
        <v>52</v>
      </c>
      <c r="B247" s="396" t="s">
        <v>345</v>
      </c>
      <c r="C247" s="398">
        <f>SUM(C248:C249)</f>
        <v>0</v>
      </c>
    </row>
    <row r="248" spans="1:3" ht="24.75" customHeight="1" hidden="1">
      <c r="A248" s="5" t="s">
        <v>55</v>
      </c>
      <c r="B248" s="34" t="s">
        <v>158</v>
      </c>
      <c r="C248" s="399"/>
    </row>
    <row r="249" spans="1:3" ht="24.75" customHeight="1" hidden="1">
      <c r="A249" s="5" t="s">
        <v>56</v>
      </c>
      <c r="B249" s="34" t="s">
        <v>159</v>
      </c>
      <c r="C249" s="399"/>
    </row>
    <row r="250" spans="1:3" ht="24.75" customHeight="1" hidden="1">
      <c r="A250" s="395" t="s">
        <v>57</v>
      </c>
      <c r="B250" s="396" t="s">
        <v>149</v>
      </c>
      <c r="C250" s="398">
        <f>SUM(C251:C253)</f>
        <v>0</v>
      </c>
    </row>
    <row r="251" spans="1:3" ht="24.75" customHeight="1" hidden="1">
      <c r="A251" s="5" t="s">
        <v>160</v>
      </c>
      <c r="B251" s="37" t="s">
        <v>161</v>
      </c>
      <c r="C251" s="399"/>
    </row>
    <row r="252" spans="1:3" ht="24.75" customHeight="1" hidden="1">
      <c r="A252" s="5" t="s">
        <v>162</v>
      </c>
      <c r="B252" s="34" t="s">
        <v>163</v>
      </c>
      <c r="C252" s="399"/>
    </row>
    <row r="253" spans="1:3" ht="24.75" customHeight="1" hidden="1">
      <c r="A253" s="5" t="s">
        <v>164</v>
      </c>
      <c r="B253" s="34" t="s">
        <v>165</v>
      </c>
      <c r="C253" s="399"/>
    </row>
    <row r="254" spans="1:3" ht="24.75" customHeight="1" hidden="1">
      <c r="A254" s="395" t="s">
        <v>72</v>
      </c>
      <c r="B254" s="396" t="s">
        <v>346</v>
      </c>
      <c r="C254" s="398">
        <f>SUM(C255:C260)</f>
        <v>0</v>
      </c>
    </row>
    <row r="255" spans="1:3" ht="24.75" customHeight="1" hidden="1">
      <c r="A255" s="5" t="s">
        <v>166</v>
      </c>
      <c r="B255" s="34" t="s">
        <v>167</v>
      </c>
      <c r="C255" s="399"/>
    </row>
    <row r="256" spans="1:3" ht="24.75" customHeight="1" hidden="1">
      <c r="A256" s="5" t="s">
        <v>168</v>
      </c>
      <c r="B256" s="34" t="s">
        <v>169</v>
      </c>
      <c r="C256" s="399"/>
    </row>
    <row r="257" spans="1:3" ht="24.75" customHeight="1" hidden="1">
      <c r="A257" s="5" t="s">
        <v>170</v>
      </c>
      <c r="B257" s="34" t="s">
        <v>171</v>
      </c>
      <c r="C257" s="399"/>
    </row>
    <row r="258" spans="1:3" ht="24.75" customHeight="1" hidden="1">
      <c r="A258" s="5" t="s">
        <v>172</v>
      </c>
      <c r="B258" s="34" t="s">
        <v>155</v>
      </c>
      <c r="C258" s="399"/>
    </row>
    <row r="259" spans="1:3" ht="24.75" customHeight="1" hidden="1">
      <c r="A259" s="5" t="s">
        <v>173</v>
      </c>
      <c r="B259" s="34" t="s">
        <v>156</v>
      </c>
      <c r="C259" s="399"/>
    </row>
    <row r="260" spans="1:3" ht="24.75" customHeight="1" hidden="1">
      <c r="A260" s="5" t="s">
        <v>174</v>
      </c>
      <c r="B260" s="34" t="s">
        <v>175</v>
      </c>
      <c r="C260" s="399"/>
    </row>
    <row r="261" spans="1:3" ht="24.75" customHeight="1" hidden="1">
      <c r="A261" s="395" t="s">
        <v>73</v>
      </c>
      <c r="B261" s="396" t="s">
        <v>348</v>
      </c>
      <c r="C261" s="398">
        <f>SUM(C262:C264)</f>
        <v>45</v>
      </c>
    </row>
    <row r="262" spans="1:3" ht="24.75" customHeight="1" hidden="1">
      <c r="A262" s="5" t="s">
        <v>176</v>
      </c>
      <c r="B262" s="34" t="s">
        <v>167</v>
      </c>
      <c r="C262" s="399">
        <v>45</v>
      </c>
    </row>
    <row r="263" spans="1:3" ht="24.75" customHeight="1" hidden="1">
      <c r="A263" s="5" t="s">
        <v>177</v>
      </c>
      <c r="B263" s="34" t="s">
        <v>169</v>
      </c>
      <c r="C263" s="399">
        <v>0</v>
      </c>
    </row>
    <row r="264" spans="1:3" ht="24.75" customHeight="1" hidden="1">
      <c r="A264" s="5" t="s">
        <v>178</v>
      </c>
      <c r="B264" s="34" t="s">
        <v>179</v>
      </c>
      <c r="C264" s="399">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300" t="s">
        <v>181</v>
      </c>
      <c r="B277" s="1301"/>
      <c r="C277" s="1301"/>
    </row>
    <row r="278" spans="1:3" ht="18.75" hidden="1">
      <c r="A278" s="1294" t="s">
        <v>69</v>
      </c>
      <c r="B278" s="1295"/>
      <c r="C278" s="387" t="s">
        <v>339</v>
      </c>
    </row>
    <row r="279" spans="1:3" ht="15.75" hidden="1">
      <c r="A279" s="1292" t="s">
        <v>6</v>
      </c>
      <c r="B279" s="1293"/>
      <c r="C279" s="397">
        <v>1</v>
      </c>
    </row>
    <row r="280" spans="1:3" ht="24.75" customHeight="1" hidden="1">
      <c r="A280" s="395" t="s">
        <v>51</v>
      </c>
      <c r="B280" s="396" t="s">
        <v>347</v>
      </c>
      <c r="C280" s="398">
        <f>SUM(C281:C286)</f>
        <v>0</v>
      </c>
    </row>
    <row r="281" spans="1:3" ht="24.75" customHeight="1" hidden="1">
      <c r="A281" s="5" t="s">
        <v>53</v>
      </c>
      <c r="B281" s="34" t="s">
        <v>152</v>
      </c>
      <c r="C281" s="399"/>
    </row>
    <row r="282" spans="1:3" ht="24.75" customHeight="1" hidden="1">
      <c r="A282" s="5" t="s">
        <v>54</v>
      </c>
      <c r="B282" s="34" t="s">
        <v>153</v>
      </c>
      <c r="C282" s="399"/>
    </row>
    <row r="283" spans="1:3" ht="24.75" customHeight="1" hidden="1">
      <c r="A283" s="5" t="s">
        <v>140</v>
      </c>
      <c r="B283" s="34" t="s">
        <v>154</v>
      </c>
      <c r="C283" s="399"/>
    </row>
    <row r="284" spans="1:3" ht="24.75" customHeight="1" hidden="1">
      <c r="A284" s="5" t="s">
        <v>142</v>
      </c>
      <c r="B284" s="34" t="s">
        <v>155</v>
      </c>
      <c r="C284" s="399"/>
    </row>
    <row r="285" spans="1:3" ht="24.75" customHeight="1" hidden="1">
      <c r="A285" s="5" t="s">
        <v>144</v>
      </c>
      <c r="B285" s="34" t="s">
        <v>156</v>
      </c>
      <c r="C285" s="399"/>
    </row>
    <row r="286" spans="1:3" ht="24.75" customHeight="1" hidden="1">
      <c r="A286" s="5" t="s">
        <v>146</v>
      </c>
      <c r="B286" s="34" t="s">
        <v>157</v>
      </c>
      <c r="C286" s="399"/>
    </row>
    <row r="287" spans="1:3" ht="24.75" customHeight="1" hidden="1">
      <c r="A287" s="395" t="s">
        <v>52</v>
      </c>
      <c r="B287" s="396" t="s">
        <v>345</v>
      </c>
      <c r="C287" s="398">
        <f>SUM(C288:C289)</f>
        <v>0</v>
      </c>
    </row>
    <row r="288" spans="1:3" ht="24.75" customHeight="1" hidden="1">
      <c r="A288" s="5" t="s">
        <v>55</v>
      </c>
      <c r="B288" s="34" t="s">
        <v>158</v>
      </c>
      <c r="C288" s="399"/>
    </row>
    <row r="289" spans="1:3" ht="24.75" customHeight="1" hidden="1">
      <c r="A289" s="5" t="s">
        <v>56</v>
      </c>
      <c r="B289" s="34" t="s">
        <v>159</v>
      </c>
      <c r="C289" s="399"/>
    </row>
    <row r="290" spans="1:3" ht="24.75" customHeight="1" hidden="1">
      <c r="A290" s="395" t="s">
        <v>57</v>
      </c>
      <c r="B290" s="396" t="s">
        <v>149</v>
      </c>
      <c r="C290" s="398">
        <f>SUM(C291:C293)</f>
        <v>0</v>
      </c>
    </row>
    <row r="291" spans="1:3" ht="24.75" customHeight="1" hidden="1">
      <c r="A291" s="5" t="s">
        <v>160</v>
      </c>
      <c r="B291" s="37" t="s">
        <v>161</v>
      </c>
      <c r="C291" s="399"/>
    </row>
    <row r="292" spans="1:3" ht="24.75" customHeight="1" hidden="1">
      <c r="A292" s="5" t="s">
        <v>162</v>
      </c>
      <c r="B292" s="34" t="s">
        <v>163</v>
      </c>
      <c r="C292" s="399"/>
    </row>
    <row r="293" spans="1:3" ht="24.75" customHeight="1" hidden="1">
      <c r="A293" s="5" t="s">
        <v>164</v>
      </c>
      <c r="B293" s="34" t="s">
        <v>165</v>
      </c>
      <c r="C293" s="399"/>
    </row>
    <row r="294" spans="1:3" ht="24.75" customHeight="1" hidden="1">
      <c r="A294" s="395" t="s">
        <v>72</v>
      </c>
      <c r="B294" s="396" t="s">
        <v>346</v>
      </c>
      <c r="C294" s="398">
        <f>SUM(C295:C300)</f>
        <v>0</v>
      </c>
    </row>
    <row r="295" spans="1:3" ht="24.75" customHeight="1" hidden="1">
      <c r="A295" s="5" t="s">
        <v>166</v>
      </c>
      <c r="B295" s="34" t="s">
        <v>167</v>
      </c>
      <c r="C295" s="399"/>
    </row>
    <row r="296" spans="1:3" ht="24.75" customHeight="1" hidden="1">
      <c r="A296" s="5" t="s">
        <v>168</v>
      </c>
      <c r="B296" s="34" t="s">
        <v>169</v>
      </c>
      <c r="C296" s="399"/>
    </row>
    <row r="297" spans="1:3" ht="24.75" customHeight="1" hidden="1">
      <c r="A297" s="5" t="s">
        <v>170</v>
      </c>
      <c r="B297" s="34" t="s">
        <v>171</v>
      </c>
      <c r="C297" s="399"/>
    </row>
    <row r="298" spans="1:3" ht="24.75" customHeight="1" hidden="1">
      <c r="A298" s="5" t="s">
        <v>172</v>
      </c>
      <c r="B298" s="34" t="s">
        <v>155</v>
      </c>
      <c r="C298" s="399"/>
    </row>
    <row r="299" spans="1:3" ht="24.75" customHeight="1" hidden="1">
      <c r="A299" s="5" t="s">
        <v>173</v>
      </c>
      <c r="B299" s="34" t="s">
        <v>156</v>
      </c>
      <c r="C299" s="399"/>
    </row>
    <row r="300" spans="1:3" ht="24.75" customHeight="1" hidden="1">
      <c r="A300" s="5" t="s">
        <v>174</v>
      </c>
      <c r="B300" s="34" t="s">
        <v>175</v>
      </c>
      <c r="C300" s="399"/>
    </row>
    <row r="301" spans="1:3" ht="24.75" customHeight="1" hidden="1">
      <c r="A301" s="395" t="s">
        <v>73</v>
      </c>
      <c r="B301" s="396" t="s">
        <v>348</v>
      </c>
      <c r="C301" s="398">
        <f>SUM(C302:C304)</f>
        <v>11</v>
      </c>
    </row>
    <row r="302" spans="1:3" ht="24.75" customHeight="1" hidden="1">
      <c r="A302" s="5" t="s">
        <v>176</v>
      </c>
      <c r="B302" s="34" t="s">
        <v>167</v>
      </c>
      <c r="C302" s="399">
        <v>9</v>
      </c>
    </row>
    <row r="303" spans="1:3" ht="24.75" customHeight="1" hidden="1">
      <c r="A303" s="5" t="s">
        <v>177</v>
      </c>
      <c r="B303" s="34" t="s">
        <v>169</v>
      </c>
      <c r="C303" s="399">
        <v>0</v>
      </c>
    </row>
    <row r="304" spans="1:3" ht="24.75" customHeight="1" hidden="1">
      <c r="A304" s="5" t="s">
        <v>178</v>
      </c>
      <c r="B304" s="34" t="s">
        <v>179</v>
      </c>
      <c r="C304" s="399">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300" t="s">
        <v>181</v>
      </c>
      <c r="B315" s="1301"/>
      <c r="C315" s="1301"/>
    </row>
    <row r="316" spans="1:3" ht="18.75" hidden="1">
      <c r="A316" s="1294" t="s">
        <v>69</v>
      </c>
      <c r="B316" s="1295"/>
      <c r="C316" s="387" t="s">
        <v>339</v>
      </c>
    </row>
    <row r="317" spans="1:3" ht="15.75" hidden="1">
      <c r="A317" s="1292" t="s">
        <v>6</v>
      </c>
      <c r="B317" s="1293"/>
      <c r="C317" s="397">
        <v>1</v>
      </c>
    </row>
    <row r="318" spans="1:3" ht="24.75" customHeight="1" hidden="1">
      <c r="A318" s="395" t="s">
        <v>51</v>
      </c>
      <c r="B318" s="396" t="s">
        <v>347</v>
      </c>
      <c r="C318" s="398">
        <f>SUM(C319:C324)</f>
        <v>0</v>
      </c>
    </row>
    <row r="319" spans="1:3" ht="24.75" customHeight="1" hidden="1">
      <c r="A319" s="5" t="s">
        <v>53</v>
      </c>
      <c r="B319" s="34" t="s">
        <v>152</v>
      </c>
      <c r="C319" s="399"/>
    </row>
    <row r="320" spans="1:3" ht="24.75" customHeight="1" hidden="1">
      <c r="A320" s="5" t="s">
        <v>54</v>
      </c>
      <c r="B320" s="34" t="s">
        <v>153</v>
      </c>
      <c r="C320" s="399"/>
    </row>
    <row r="321" spans="1:3" ht="24.75" customHeight="1" hidden="1">
      <c r="A321" s="5" t="s">
        <v>140</v>
      </c>
      <c r="B321" s="34" t="s">
        <v>154</v>
      </c>
      <c r="C321" s="399"/>
    </row>
    <row r="322" spans="1:3" ht="24.75" customHeight="1" hidden="1">
      <c r="A322" s="5" t="s">
        <v>142</v>
      </c>
      <c r="B322" s="34" t="s">
        <v>155</v>
      </c>
      <c r="C322" s="399"/>
    </row>
    <row r="323" spans="1:3" ht="24.75" customHeight="1" hidden="1">
      <c r="A323" s="5" t="s">
        <v>144</v>
      </c>
      <c r="B323" s="34" t="s">
        <v>156</v>
      </c>
      <c r="C323" s="399"/>
    </row>
    <row r="324" spans="1:3" ht="24.75" customHeight="1" hidden="1">
      <c r="A324" s="5" t="s">
        <v>146</v>
      </c>
      <c r="B324" s="34" t="s">
        <v>157</v>
      </c>
      <c r="C324" s="399"/>
    </row>
    <row r="325" spans="1:3" ht="24.75" customHeight="1" hidden="1">
      <c r="A325" s="395" t="s">
        <v>52</v>
      </c>
      <c r="B325" s="396" t="s">
        <v>345</v>
      </c>
      <c r="C325" s="398">
        <f>SUM(C326:C327)</f>
        <v>0</v>
      </c>
    </row>
    <row r="326" spans="1:3" ht="24.75" customHeight="1" hidden="1">
      <c r="A326" s="5" t="s">
        <v>55</v>
      </c>
      <c r="B326" s="34" t="s">
        <v>158</v>
      </c>
      <c r="C326" s="399"/>
    </row>
    <row r="327" spans="1:3" ht="24.75" customHeight="1" hidden="1">
      <c r="A327" s="5" t="s">
        <v>56</v>
      </c>
      <c r="B327" s="34" t="s">
        <v>159</v>
      </c>
      <c r="C327" s="399"/>
    </row>
    <row r="328" spans="1:3" ht="24.75" customHeight="1" hidden="1">
      <c r="A328" s="395" t="s">
        <v>57</v>
      </c>
      <c r="B328" s="396" t="s">
        <v>149</v>
      </c>
      <c r="C328" s="398">
        <f>SUM(C329:C331)</f>
        <v>0</v>
      </c>
    </row>
    <row r="329" spans="1:3" ht="24.75" customHeight="1" hidden="1">
      <c r="A329" s="5" t="s">
        <v>160</v>
      </c>
      <c r="B329" s="37" t="s">
        <v>161</v>
      </c>
      <c r="C329" s="399"/>
    </row>
    <row r="330" spans="1:3" ht="24.75" customHeight="1" hidden="1">
      <c r="A330" s="5" t="s">
        <v>162</v>
      </c>
      <c r="B330" s="34" t="s">
        <v>163</v>
      </c>
      <c r="C330" s="399"/>
    </row>
    <row r="331" spans="1:3" ht="24.75" customHeight="1" hidden="1">
      <c r="A331" s="5" t="s">
        <v>164</v>
      </c>
      <c r="B331" s="34" t="s">
        <v>165</v>
      </c>
      <c r="C331" s="399"/>
    </row>
    <row r="332" spans="1:3" ht="24.75" customHeight="1" hidden="1">
      <c r="A332" s="395" t="s">
        <v>72</v>
      </c>
      <c r="B332" s="396" t="s">
        <v>346</v>
      </c>
      <c r="C332" s="398">
        <f>SUM(C333:C338)</f>
        <v>0</v>
      </c>
    </row>
    <row r="333" spans="1:3" ht="24.75" customHeight="1" hidden="1">
      <c r="A333" s="5" t="s">
        <v>166</v>
      </c>
      <c r="B333" s="34" t="s">
        <v>167</v>
      </c>
      <c r="C333" s="399"/>
    </row>
    <row r="334" spans="1:3" ht="24.75" customHeight="1" hidden="1">
      <c r="A334" s="5" t="s">
        <v>168</v>
      </c>
      <c r="B334" s="34" t="s">
        <v>169</v>
      </c>
      <c r="C334" s="399"/>
    </row>
    <row r="335" spans="1:3" ht="24.75" customHeight="1" hidden="1">
      <c r="A335" s="5" t="s">
        <v>170</v>
      </c>
      <c r="B335" s="34" t="s">
        <v>171</v>
      </c>
      <c r="C335" s="399"/>
    </row>
    <row r="336" spans="1:3" ht="24.75" customHeight="1" hidden="1">
      <c r="A336" s="5" t="s">
        <v>172</v>
      </c>
      <c r="B336" s="34" t="s">
        <v>155</v>
      </c>
      <c r="C336" s="399"/>
    </row>
    <row r="337" spans="1:3" ht="24.75" customHeight="1" hidden="1">
      <c r="A337" s="5" t="s">
        <v>173</v>
      </c>
      <c r="B337" s="34" t="s">
        <v>156</v>
      </c>
      <c r="C337" s="399"/>
    </row>
    <row r="338" spans="1:3" ht="24.75" customHeight="1" hidden="1">
      <c r="A338" s="5" t="s">
        <v>174</v>
      </c>
      <c r="B338" s="34" t="s">
        <v>175</v>
      </c>
      <c r="C338" s="399"/>
    </row>
    <row r="339" spans="1:3" ht="24.75" customHeight="1" hidden="1">
      <c r="A339" s="395" t="s">
        <v>73</v>
      </c>
      <c r="B339" s="396" t="s">
        <v>348</v>
      </c>
      <c r="C339" s="398">
        <f>SUM(C340:C342)</f>
        <v>16</v>
      </c>
    </row>
    <row r="340" spans="1:3" ht="24.75" customHeight="1" hidden="1">
      <c r="A340" s="5" t="s">
        <v>176</v>
      </c>
      <c r="B340" s="34" t="s">
        <v>167</v>
      </c>
      <c r="C340" s="399">
        <v>16</v>
      </c>
    </row>
    <row r="341" spans="1:3" ht="24.75" customHeight="1" hidden="1">
      <c r="A341" s="5" t="s">
        <v>177</v>
      </c>
      <c r="B341" s="34" t="s">
        <v>169</v>
      </c>
      <c r="C341" s="399"/>
    </row>
    <row r="342" spans="1:3" ht="24.75" customHeight="1" hidden="1">
      <c r="A342" s="5" t="s">
        <v>178</v>
      </c>
      <c r="B342" s="34" t="s">
        <v>179</v>
      </c>
      <c r="C342" s="399"/>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300" t="s">
        <v>181</v>
      </c>
      <c r="B352" s="1301"/>
      <c r="C352" s="1301"/>
    </row>
    <row r="353" spans="1:3" ht="18.75" hidden="1">
      <c r="A353" s="1294" t="s">
        <v>69</v>
      </c>
      <c r="B353" s="1295"/>
      <c r="C353" s="387" t="s">
        <v>339</v>
      </c>
    </row>
    <row r="354" spans="1:3" ht="15.75" hidden="1">
      <c r="A354" s="1292" t="s">
        <v>6</v>
      </c>
      <c r="B354" s="1293"/>
      <c r="C354" s="397">
        <v>1</v>
      </c>
    </row>
    <row r="355" spans="1:3" ht="24.75" customHeight="1" hidden="1">
      <c r="A355" s="395" t="s">
        <v>51</v>
      </c>
      <c r="B355" s="396" t="s">
        <v>347</v>
      </c>
      <c r="C355" s="398">
        <f>SUM(C356:C361)</f>
        <v>2</v>
      </c>
    </row>
    <row r="356" spans="1:3" ht="24.75" customHeight="1" hidden="1">
      <c r="A356" s="5" t="s">
        <v>53</v>
      </c>
      <c r="B356" s="34" t="s">
        <v>152</v>
      </c>
      <c r="C356" s="399">
        <v>2</v>
      </c>
    </row>
    <row r="357" spans="1:3" ht="24.75" customHeight="1" hidden="1">
      <c r="A357" s="5" t="s">
        <v>54</v>
      </c>
      <c r="B357" s="34" t="s">
        <v>153</v>
      </c>
      <c r="C357" s="399">
        <v>0</v>
      </c>
    </row>
    <row r="358" spans="1:3" ht="24.75" customHeight="1" hidden="1">
      <c r="A358" s="5" t="s">
        <v>140</v>
      </c>
      <c r="B358" s="34" t="s">
        <v>154</v>
      </c>
      <c r="C358" s="399">
        <v>0</v>
      </c>
    </row>
    <row r="359" spans="1:3" ht="24.75" customHeight="1" hidden="1">
      <c r="A359" s="5" t="s">
        <v>142</v>
      </c>
      <c r="B359" s="34" t="s">
        <v>155</v>
      </c>
      <c r="C359" s="399">
        <v>0</v>
      </c>
    </row>
    <row r="360" spans="1:3" ht="24.75" customHeight="1" hidden="1">
      <c r="A360" s="5" t="s">
        <v>144</v>
      </c>
      <c r="B360" s="34" t="s">
        <v>156</v>
      </c>
      <c r="C360" s="399">
        <v>0</v>
      </c>
    </row>
    <row r="361" spans="1:3" ht="24.75" customHeight="1" hidden="1">
      <c r="A361" s="5" t="s">
        <v>146</v>
      </c>
      <c r="B361" s="34" t="s">
        <v>157</v>
      </c>
      <c r="C361" s="399">
        <v>0</v>
      </c>
    </row>
    <row r="362" spans="1:3" ht="24.75" customHeight="1" hidden="1">
      <c r="A362" s="395" t="s">
        <v>52</v>
      </c>
      <c r="B362" s="396" t="s">
        <v>345</v>
      </c>
      <c r="C362" s="398">
        <f>SUM(C363:C364)</f>
        <v>0</v>
      </c>
    </row>
    <row r="363" spans="1:3" ht="24.75" customHeight="1" hidden="1">
      <c r="A363" s="5" t="s">
        <v>55</v>
      </c>
      <c r="B363" s="34" t="s">
        <v>158</v>
      </c>
      <c r="C363" s="399"/>
    </row>
    <row r="364" spans="1:3" ht="24.75" customHeight="1" hidden="1">
      <c r="A364" s="5" t="s">
        <v>56</v>
      </c>
      <c r="B364" s="34" t="s">
        <v>159</v>
      </c>
      <c r="C364" s="399"/>
    </row>
    <row r="365" spans="1:3" ht="24.75" customHeight="1" hidden="1">
      <c r="A365" s="395" t="s">
        <v>57</v>
      </c>
      <c r="B365" s="396" t="s">
        <v>149</v>
      </c>
      <c r="C365" s="398">
        <f>SUM(C366:C368)</f>
        <v>10</v>
      </c>
    </row>
    <row r="366" spans="1:3" ht="24.75" customHeight="1" hidden="1">
      <c r="A366" s="5" t="s">
        <v>160</v>
      </c>
      <c r="B366" s="37" t="s">
        <v>161</v>
      </c>
      <c r="C366" s="399">
        <v>0</v>
      </c>
    </row>
    <row r="367" spans="1:3" ht="24.75" customHeight="1" hidden="1">
      <c r="A367" s="5" t="s">
        <v>162</v>
      </c>
      <c r="B367" s="34" t="s">
        <v>163</v>
      </c>
      <c r="C367" s="399">
        <v>10</v>
      </c>
    </row>
    <row r="368" spans="1:3" ht="24.75" customHeight="1" hidden="1">
      <c r="A368" s="5" t="s">
        <v>164</v>
      </c>
      <c r="B368" s="34" t="s">
        <v>165</v>
      </c>
      <c r="C368" s="399">
        <v>0</v>
      </c>
    </row>
    <row r="369" spans="1:3" ht="24.75" customHeight="1" hidden="1">
      <c r="A369" s="395" t="s">
        <v>72</v>
      </c>
      <c r="B369" s="396" t="s">
        <v>346</v>
      </c>
      <c r="C369" s="398">
        <f>SUM(C370:C375)</f>
        <v>0</v>
      </c>
    </row>
    <row r="370" spans="1:3" ht="24.75" customHeight="1" hidden="1">
      <c r="A370" s="5" t="s">
        <v>166</v>
      </c>
      <c r="B370" s="34" t="s">
        <v>167</v>
      </c>
      <c r="C370" s="399"/>
    </row>
    <row r="371" spans="1:3" ht="24.75" customHeight="1" hidden="1">
      <c r="A371" s="5" t="s">
        <v>168</v>
      </c>
      <c r="B371" s="34" t="s">
        <v>169</v>
      </c>
      <c r="C371" s="399"/>
    </row>
    <row r="372" spans="1:3" ht="24.75" customHeight="1" hidden="1">
      <c r="A372" s="5" t="s">
        <v>170</v>
      </c>
      <c r="B372" s="34" t="s">
        <v>171</v>
      </c>
      <c r="C372" s="399"/>
    </row>
    <row r="373" spans="1:3" ht="24.75" customHeight="1" hidden="1">
      <c r="A373" s="5" t="s">
        <v>172</v>
      </c>
      <c r="B373" s="34" t="s">
        <v>155</v>
      </c>
      <c r="C373" s="399"/>
    </row>
    <row r="374" spans="1:3" ht="24.75" customHeight="1" hidden="1">
      <c r="A374" s="5" t="s">
        <v>173</v>
      </c>
      <c r="B374" s="34" t="s">
        <v>156</v>
      </c>
      <c r="C374" s="399"/>
    </row>
    <row r="375" spans="1:3" ht="24.75" customHeight="1" hidden="1">
      <c r="A375" s="5" t="s">
        <v>174</v>
      </c>
      <c r="B375" s="34" t="s">
        <v>175</v>
      </c>
      <c r="C375" s="399"/>
    </row>
    <row r="376" spans="1:3" ht="24.75" customHeight="1" hidden="1">
      <c r="A376" s="395" t="s">
        <v>73</v>
      </c>
      <c r="B376" s="396" t="s">
        <v>348</v>
      </c>
      <c r="C376" s="398">
        <f>SUM(C377:C379)</f>
        <v>30</v>
      </c>
    </row>
    <row r="377" spans="1:3" ht="24.75" customHeight="1" hidden="1">
      <c r="A377" s="5" t="s">
        <v>176</v>
      </c>
      <c r="B377" s="34" t="s">
        <v>167</v>
      </c>
      <c r="C377" s="399">
        <v>30</v>
      </c>
    </row>
    <row r="378" spans="1:3" ht="24.75" customHeight="1" hidden="1">
      <c r="A378" s="5" t="s">
        <v>177</v>
      </c>
      <c r="B378" s="34" t="s">
        <v>169</v>
      </c>
      <c r="C378" s="399">
        <v>0</v>
      </c>
    </row>
    <row r="379" spans="1:3" ht="24.75" customHeight="1" hidden="1">
      <c r="A379" s="5" t="s">
        <v>178</v>
      </c>
      <c r="B379" s="34" t="s">
        <v>179</v>
      </c>
      <c r="C379" s="399">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300" t="s">
        <v>181</v>
      </c>
      <c r="B394" s="1301"/>
      <c r="C394" s="1301"/>
    </row>
    <row r="395" spans="1:3" ht="18.75" hidden="1">
      <c r="A395" s="1294" t="s">
        <v>69</v>
      </c>
      <c r="B395" s="1295"/>
      <c r="C395" s="387" t="s">
        <v>339</v>
      </c>
    </row>
    <row r="396" spans="1:3" ht="15.75" hidden="1">
      <c r="A396" s="1292" t="s">
        <v>6</v>
      </c>
      <c r="B396" s="1293"/>
      <c r="C396" s="397">
        <v>1</v>
      </c>
    </row>
    <row r="397" spans="1:3" ht="24.75" customHeight="1" hidden="1">
      <c r="A397" s="395" t="s">
        <v>51</v>
      </c>
      <c r="B397" s="396" t="s">
        <v>347</v>
      </c>
      <c r="C397" s="398">
        <f>SUM(C398:C403)</f>
        <v>0</v>
      </c>
    </row>
    <row r="398" spans="1:3" ht="24.75" customHeight="1" hidden="1">
      <c r="A398" s="5" t="s">
        <v>53</v>
      </c>
      <c r="B398" s="34" t="s">
        <v>152</v>
      </c>
      <c r="C398" s="399"/>
    </row>
    <row r="399" spans="1:3" ht="24.75" customHeight="1" hidden="1">
      <c r="A399" s="5" t="s">
        <v>54</v>
      </c>
      <c r="B399" s="34" t="s">
        <v>153</v>
      </c>
      <c r="C399" s="399"/>
    </row>
    <row r="400" spans="1:3" ht="24.75" customHeight="1" hidden="1">
      <c r="A400" s="5" t="s">
        <v>140</v>
      </c>
      <c r="B400" s="34" t="s">
        <v>154</v>
      </c>
      <c r="C400" s="399"/>
    </row>
    <row r="401" spans="1:3" ht="24.75" customHeight="1" hidden="1">
      <c r="A401" s="5" t="s">
        <v>142</v>
      </c>
      <c r="B401" s="34" t="s">
        <v>155</v>
      </c>
      <c r="C401" s="399"/>
    </row>
    <row r="402" spans="1:3" ht="24.75" customHeight="1" hidden="1">
      <c r="A402" s="5" t="s">
        <v>144</v>
      </c>
      <c r="B402" s="34" t="s">
        <v>156</v>
      </c>
      <c r="C402" s="399"/>
    </row>
    <row r="403" spans="1:3" ht="24.75" customHeight="1" hidden="1">
      <c r="A403" s="5" t="s">
        <v>146</v>
      </c>
      <c r="B403" s="34" t="s">
        <v>157</v>
      </c>
      <c r="C403" s="399"/>
    </row>
    <row r="404" spans="1:3" ht="24.75" customHeight="1" hidden="1">
      <c r="A404" s="395" t="s">
        <v>52</v>
      </c>
      <c r="B404" s="396" t="s">
        <v>345</v>
      </c>
      <c r="C404" s="398">
        <f>SUM(C405:C406)</f>
        <v>0</v>
      </c>
    </row>
    <row r="405" spans="1:3" ht="24.75" customHeight="1" hidden="1">
      <c r="A405" s="5" t="s">
        <v>55</v>
      </c>
      <c r="B405" s="34" t="s">
        <v>158</v>
      </c>
      <c r="C405" s="399"/>
    </row>
    <row r="406" spans="1:3" ht="24.75" customHeight="1" hidden="1">
      <c r="A406" s="5" t="s">
        <v>56</v>
      </c>
      <c r="B406" s="34" t="s">
        <v>159</v>
      </c>
      <c r="C406" s="399"/>
    </row>
    <row r="407" spans="1:3" ht="24.75" customHeight="1" hidden="1">
      <c r="A407" s="395" t="s">
        <v>57</v>
      </c>
      <c r="B407" s="396" t="s">
        <v>149</v>
      </c>
      <c r="C407" s="398">
        <f>SUM(C408:C410)</f>
        <v>0</v>
      </c>
    </row>
    <row r="408" spans="1:3" ht="24.75" customHeight="1" hidden="1">
      <c r="A408" s="5" t="s">
        <v>160</v>
      </c>
      <c r="B408" s="37" t="s">
        <v>161</v>
      </c>
      <c r="C408" s="399"/>
    </row>
    <row r="409" spans="1:3" ht="24.75" customHeight="1" hidden="1">
      <c r="A409" s="5" t="s">
        <v>162</v>
      </c>
      <c r="B409" s="34" t="s">
        <v>163</v>
      </c>
      <c r="C409" s="399"/>
    </row>
    <row r="410" spans="1:3" ht="24.75" customHeight="1" hidden="1">
      <c r="A410" s="5" t="s">
        <v>164</v>
      </c>
      <c r="B410" s="34" t="s">
        <v>165</v>
      </c>
      <c r="C410" s="399"/>
    </row>
    <row r="411" spans="1:3" ht="24.75" customHeight="1" hidden="1">
      <c r="A411" s="395" t="s">
        <v>72</v>
      </c>
      <c r="B411" s="396" t="s">
        <v>346</v>
      </c>
      <c r="C411" s="398">
        <f>SUM(C412:C417)</f>
        <v>0</v>
      </c>
    </row>
    <row r="412" spans="1:3" ht="24.75" customHeight="1" hidden="1">
      <c r="A412" s="5" t="s">
        <v>166</v>
      </c>
      <c r="B412" s="34" t="s">
        <v>167</v>
      </c>
      <c r="C412" s="399"/>
    </row>
    <row r="413" spans="1:3" ht="24.75" customHeight="1" hidden="1">
      <c r="A413" s="5" t="s">
        <v>168</v>
      </c>
      <c r="B413" s="34" t="s">
        <v>169</v>
      </c>
      <c r="C413" s="399"/>
    </row>
    <row r="414" spans="1:3" ht="24.75" customHeight="1" hidden="1">
      <c r="A414" s="5" t="s">
        <v>170</v>
      </c>
      <c r="B414" s="34" t="s">
        <v>171</v>
      </c>
      <c r="C414" s="399"/>
    </row>
    <row r="415" spans="1:3" ht="24.75" customHeight="1" hidden="1">
      <c r="A415" s="5" t="s">
        <v>172</v>
      </c>
      <c r="B415" s="34" t="s">
        <v>155</v>
      </c>
      <c r="C415" s="399"/>
    </row>
    <row r="416" spans="1:3" ht="24.75" customHeight="1" hidden="1">
      <c r="A416" s="5" t="s">
        <v>173</v>
      </c>
      <c r="B416" s="34" t="s">
        <v>156</v>
      </c>
      <c r="C416" s="399"/>
    </row>
    <row r="417" spans="1:3" ht="24.75" customHeight="1" hidden="1">
      <c r="A417" s="5" t="s">
        <v>174</v>
      </c>
      <c r="B417" s="34" t="s">
        <v>175</v>
      </c>
      <c r="C417" s="399"/>
    </row>
    <row r="418" spans="1:3" ht="24.75" customHeight="1" hidden="1">
      <c r="A418" s="395" t="s">
        <v>73</v>
      </c>
      <c r="B418" s="396" t="s">
        <v>348</v>
      </c>
      <c r="C418" s="398">
        <f>SUM(C419:C421)</f>
        <v>31</v>
      </c>
    </row>
    <row r="419" spans="1:3" ht="24.75" customHeight="1" hidden="1">
      <c r="A419" s="5" t="s">
        <v>176</v>
      </c>
      <c r="B419" s="34" t="s">
        <v>167</v>
      </c>
      <c r="C419" s="399">
        <v>31</v>
      </c>
    </row>
    <row r="420" spans="1:3" ht="24.75" customHeight="1" hidden="1">
      <c r="A420" s="5" t="s">
        <v>177</v>
      </c>
      <c r="B420" s="34" t="s">
        <v>169</v>
      </c>
      <c r="C420" s="399">
        <v>0</v>
      </c>
    </row>
    <row r="421" spans="1:3" ht="24.75" customHeight="1" hidden="1">
      <c r="A421" s="5" t="s">
        <v>178</v>
      </c>
      <c r="B421" s="34" t="s">
        <v>179</v>
      </c>
      <c r="C421" s="399">
        <v>0</v>
      </c>
    </row>
    <row r="422" ht="15.75" hidden="1"/>
    <row r="423" ht="15.75" hidden="1"/>
    <row r="424" ht="15.75" hidden="1"/>
    <row r="425" ht="15.75" hidden="1"/>
    <row r="426" ht="15.75" hidden="1"/>
    <row r="427" ht="15.75" customHeight="1" hidden="1"/>
    <row r="428" ht="15.75" hidden="1"/>
    <row r="429" ht="15.75" hidden="1"/>
    <row r="430" spans="1:3" ht="16.5" customHeight="1" hidden="1">
      <c r="A430" s="1300" t="s">
        <v>181</v>
      </c>
      <c r="B430" s="1301"/>
      <c r="C430" s="1301"/>
    </row>
    <row r="431" spans="1:3" ht="18.75" hidden="1">
      <c r="A431" s="1294" t="s">
        <v>69</v>
      </c>
      <c r="B431" s="1295"/>
      <c r="C431" s="387" t="s">
        <v>339</v>
      </c>
    </row>
    <row r="432" spans="1:3" ht="15.75" hidden="1">
      <c r="A432" s="1292" t="s">
        <v>6</v>
      </c>
      <c r="B432" s="1293"/>
      <c r="C432" s="397">
        <v>1</v>
      </c>
    </row>
    <row r="433" spans="1:3" ht="24.75" customHeight="1" hidden="1">
      <c r="A433" s="395" t="s">
        <v>51</v>
      </c>
      <c r="B433" s="396" t="s">
        <v>347</v>
      </c>
      <c r="C433" s="398">
        <f>SUM(C434:C439)</f>
        <v>0</v>
      </c>
    </row>
    <row r="434" spans="1:3" ht="24.75" customHeight="1" hidden="1">
      <c r="A434" s="5" t="s">
        <v>53</v>
      </c>
      <c r="B434" s="34" t="s">
        <v>152</v>
      </c>
      <c r="C434" s="399"/>
    </row>
    <row r="435" spans="1:3" ht="24.75" customHeight="1" hidden="1">
      <c r="A435" s="5" t="s">
        <v>54</v>
      </c>
      <c r="B435" s="34" t="s">
        <v>153</v>
      </c>
      <c r="C435" s="399"/>
    </row>
    <row r="436" spans="1:3" ht="24.75" customHeight="1" hidden="1">
      <c r="A436" s="5" t="s">
        <v>140</v>
      </c>
      <c r="B436" s="34" t="s">
        <v>154</v>
      </c>
      <c r="C436" s="399"/>
    </row>
    <row r="437" spans="1:3" ht="24.75" customHeight="1" hidden="1">
      <c r="A437" s="5" t="s">
        <v>142</v>
      </c>
      <c r="B437" s="34" t="s">
        <v>155</v>
      </c>
      <c r="C437" s="399"/>
    </row>
    <row r="438" spans="1:3" ht="24.75" customHeight="1" hidden="1">
      <c r="A438" s="5" t="s">
        <v>144</v>
      </c>
      <c r="B438" s="34" t="s">
        <v>156</v>
      </c>
      <c r="C438" s="399"/>
    </row>
    <row r="439" spans="1:3" ht="24.75" customHeight="1" hidden="1">
      <c r="A439" s="5" t="s">
        <v>146</v>
      </c>
      <c r="B439" s="34" t="s">
        <v>157</v>
      </c>
      <c r="C439" s="399"/>
    </row>
    <row r="440" spans="1:3" ht="24.75" customHeight="1" hidden="1">
      <c r="A440" s="395" t="s">
        <v>52</v>
      </c>
      <c r="B440" s="396" t="s">
        <v>345</v>
      </c>
      <c r="C440" s="398">
        <f>SUM(C441:C442)</f>
        <v>0</v>
      </c>
    </row>
    <row r="441" spans="1:3" ht="24.75" customHeight="1" hidden="1">
      <c r="A441" s="5" t="s">
        <v>55</v>
      </c>
      <c r="B441" s="34" t="s">
        <v>158</v>
      </c>
      <c r="C441" s="399"/>
    </row>
    <row r="442" spans="1:3" ht="24.75" customHeight="1" hidden="1">
      <c r="A442" s="5" t="s">
        <v>56</v>
      </c>
      <c r="B442" s="34" t="s">
        <v>159</v>
      </c>
      <c r="C442" s="399"/>
    </row>
    <row r="443" spans="1:3" ht="24.75" customHeight="1" hidden="1">
      <c r="A443" s="395" t="s">
        <v>57</v>
      </c>
      <c r="B443" s="396" t="s">
        <v>149</v>
      </c>
      <c r="C443" s="398">
        <f>SUM(C444:C446)</f>
        <v>0</v>
      </c>
    </row>
    <row r="444" spans="1:3" ht="24.75" customHeight="1" hidden="1">
      <c r="A444" s="5" t="s">
        <v>160</v>
      </c>
      <c r="B444" s="37" t="s">
        <v>161</v>
      </c>
      <c r="C444" s="399"/>
    </row>
    <row r="445" spans="1:3" ht="24.75" customHeight="1" hidden="1">
      <c r="A445" s="5" t="s">
        <v>162</v>
      </c>
      <c r="B445" s="34" t="s">
        <v>163</v>
      </c>
      <c r="C445" s="399"/>
    </row>
    <row r="446" spans="1:3" ht="24.75" customHeight="1" hidden="1">
      <c r="A446" s="5" t="s">
        <v>164</v>
      </c>
      <c r="B446" s="34" t="s">
        <v>165</v>
      </c>
      <c r="C446" s="399"/>
    </row>
    <row r="447" spans="1:3" ht="24.75" customHeight="1" hidden="1">
      <c r="A447" s="395" t="s">
        <v>72</v>
      </c>
      <c r="B447" s="396" t="s">
        <v>346</v>
      </c>
      <c r="C447" s="398">
        <f>SUM(C448:C453)</f>
        <v>0</v>
      </c>
    </row>
    <row r="448" spans="1:3" ht="24.75" customHeight="1" hidden="1">
      <c r="A448" s="5" t="s">
        <v>166</v>
      </c>
      <c r="B448" s="34" t="s">
        <v>167</v>
      </c>
      <c r="C448" s="399"/>
    </row>
    <row r="449" spans="1:3" ht="24.75" customHeight="1" hidden="1">
      <c r="A449" s="5" t="s">
        <v>168</v>
      </c>
      <c r="B449" s="34" t="s">
        <v>169</v>
      </c>
      <c r="C449" s="399"/>
    </row>
    <row r="450" spans="1:3" ht="24.75" customHeight="1" hidden="1">
      <c r="A450" s="5" t="s">
        <v>170</v>
      </c>
      <c r="B450" s="34" t="s">
        <v>171</v>
      </c>
      <c r="C450" s="399"/>
    </row>
    <row r="451" spans="1:3" ht="24.75" customHeight="1" hidden="1">
      <c r="A451" s="5" t="s">
        <v>172</v>
      </c>
      <c r="B451" s="34" t="s">
        <v>155</v>
      </c>
      <c r="C451" s="399"/>
    </row>
    <row r="452" spans="1:3" ht="24.75" customHeight="1" hidden="1">
      <c r="A452" s="5" t="s">
        <v>173</v>
      </c>
      <c r="B452" s="34" t="s">
        <v>156</v>
      </c>
      <c r="C452" s="399"/>
    </row>
    <row r="453" spans="1:3" ht="24.75" customHeight="1" hidden="1">
      <c r="A453" s="5" t="s">
        <v>174</v>
      </c>
      <c r="B453" s="34" t="s">
        <v>175</v>
      </c>
      <c r="C453" s="399"/>
    </row>
    <row r="454" spans="1:3" ht="24.75" customHeight="1" hidden="1">
      <c r="A454" s="395" t="s">
        <v>73</v>
      </c>
      <c r="B454" s="396" t="s">
        <v>348</v>
      </c>
      <c r="C454" s="398">
        <f>SUM(C455:C457)</f>
        <v>13</v>
      </c>
    </row>
    <row r="455" spans="1:3" ht="24.75" customHeight="1" hidden="1">
      <c r="A455" s="5" t="s">
        <v>176</v>
      </c>
      <c r="B455" s="34" t="s">
        <v>167</v>
      </c>
      <c r="C455" s="399">
        <v>13</v>
      </c>
    </row>
    <row r="456" spans="1:3" ht="24.75" customHeight="1" hidden="1">
      <c r="A456" s="5" t="s">
        <v>177</v>
      </c>
      <c r="B456" s="34" t="s">
        <v>169</v>
      </c>
      <c r="C456" s="399"/>
    </row>
    <row r="457" spans="1:3" ht="15.75" hidden="1">
      <c r="A457" s="5" t="s">
        <v>178</v>
      </c>
      <c r="B457" s="34" t="s">
        <v>179</v>
      </c>
      <c r="C457" s="399"/>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300" t="s">
        <v>181</v>
      </c>
      <c r="B470" s="1301"/>
      <c r="C470" s="1301"/>
    </row>
    <row r="471" spans="1:3" ht="18.75" hidden="1">
      <c r="A471" s="1294" t="s">
        <v>69</v>
      </c>
      <c r="B471" s="1295"/>
      <c r="C471" s="387" t="s">
        <v>339</v>
      </c>
    </row>
    <row r="472" spans="1:3" ht="15.75" hidden="1">
      <c r="A472" s="1292" t="s">
        <v>6</v>
      </c>
      <c r="B472" s="1293"/>
      <c r="C472" s="397">
        <v>1</v>
      </c>
    </row>
    <row r="473" spans="1:3" ht="24.75" customHeight="1" hidden="1">
      <c r="A473" s="395" t="s">
        <v>51</v>
      </c>
      <c r="B473" s="396" t="s">
        <v>347</v>
      </c>
      <c r="C473" s="398">
        <f>SUM(C474:C479)</f>
        <v>0</v>
      </c>
    </row>
    <row r="474" spans="1:3" ht="24.75" customHeight="1" hidden="1">
      <c r="A474" s="5" t="s">
        <v>53</v>
      </c>
      <c r="B474" s="34" t="s">
        <v>152</v>
      </c>
      <c r="C474" s="399"/>
    </row>
    <row r="475" spans="1:3" ht="24.75" customHeight="1" hidden="1">
      <c r="A475" s="5" t="s">
        <v>54</v>
      </c>
      <c r="B475" s="34" t="s">
        <v>153</v>
      </c>
      <c r="C475" s="399"/>
    </row>
    <row r="476" spans="1:3" ht="24.75" customHeight="1" hidden="1">
      <c r="A476" s="5" t="s">
        <v>140</v>
      </c>
      <c r="B476" s="34" t="s">
        <v>154</v>
      </c>
      <c r="C476" s="399"/>
    </row>
    <row r="477" spans="1:3" ht="24.75" customHeight="1" hidden="1">
      <c r="A477" s="5" t="s">
        <v>142</v>
      </c>
      <c r="B477" s="34" t="s">
        <v>155</v>
      </c>
      <c r="C477" s="399"/>
    </row>
    <row r="478" spans="1:3" ht="24.75" customHeight="1" hidden="1">
      <c r="A478" s="5" t="s">
        <v>144</v>
      </c>
      <c r="B478" s="34" t="s">
        <v>156</v>
      </c>
      <c r="C478" s="399"/>
    </row>
    <row r="479" spans="1:3" ht="24.75" customHeight="1" hidden="1">
      <c r="A479" s="5" t="s">
        <v>146</v>
      </c>
      <c r="B479" s="34" t="s">
        <v>157</v>
      </c>
      <c r="C479" s="399"/>
    </row>
    <row r="480" spans="1:3" ht="24.75" customHeight="1" hidden="1">
      <c r="A480" s="395" t="s">
        <v>52</v>
      </c>
      <c r="B480" s="396" t="s">
        <v>345</v>
      </c>
      <c r="C480" s="398">
        <f>SUM(C481:C482)</f>
        <v>1</v>
      </c>
    </row>
    <row r="481" spans="1:3" ht="24.75" customHeight="1" hidden="1">
      <c r="A481" s="5" t="s">
        <v>55</v>
      </c>
      <c r="B481" s="34" t="s">
        <v>158</v>
      </c>
      <c r="C481" s="399">
        <v>1</v>
      </c>
    </row>
    <row r="482" spans="1:3" ht="24.75" customHeight="1" hidden="1">
      <c r="A482" s="5" t="s">
        <v>56</v>
      </c>
      <c r="B482" s="34" t="s">
        <v>159</v>
      </c>
      <c r="C482" s="399">
        <v>0</v>
      </c>
    </row>
    <row r="483" spans="1:3" ht="24.75" customHeight="1" hidden="1">
      <c r="A483" s="395" t="s">
        <v>57</v>
      </c>
      <c r="B483" s="396" t="s">
        <v>149</v>
      </c>
      <c r="C483" s="398">
        <f>SUM(C484:C486)</f>
        <v>0</v>
      </c>
    </row>
    <row r="484" spans="1:3" ht="24.75" customHeight="1" hidden="1">
      <c r="A484" s="5" t="s">
        <v>160</v>
      </c>
      <c r="B484" s="37" t="s">
        <v>161</v>
      </c>
      <c r="C484" s="399"/>
    </row>
    <row r="485" spans="1:3" ht="24.75" customHeight="1" hidden="1">
      <c r="A485" s="5" t="s">
        <v>162</v>
      </c>
      <c r="B485" s="34" t="s">
        <v>163</v>
      </c>
      <c r="C485" s="399"/>
    </row>
    <row r="486" spans="1:3" ht="24.75" customHeight="1" hidden="1">
      <c r="A486" s="5" t="s">
        <v>164</v>
      </c>
      <c r="B486" s="34" t="s">
        <v>165</v>
      </c>
      <c r="C486" s="399"/>
    </row>
    <row r="487" spans="1:3" ht="24.75" customHeight="1" hidden="1">
      <c r="A487" s="395" t="s">
        <v>72</v>
      </c>
      <c r="B487" s="396" t="s">
        <v>346</v>
      </c>
      <c r="C487" s="398">
        <f>SUM(C488:C493)</f>
        <v>0</v>
      </c>
    </row>
    <row r="488" spans="1:3" ht="24.75" customHeight="1" hidden="1">
      <c r="A488" s="5" t="s">
        <v>166</v>
      </c>
      <c r="B488" s="34" t="s">
        <v>167</v>
      </c>
      <c r="C488" s="399"/>
    </row>
    <row r="489" spans="1:3" ht="24.75" customHeight="1" hidden="1">
      <c r="A489" s="5" t="s">
        <v>168</v>
      </c>
      <c r="B489" s="34" t="s">
        <v>169</v>
      </c>
      <c r="C489" s="399"/>
    </row>
    <row r="490" spans="1:3" ht="24.75" customHeight="1" hidden="1">
      <c r="A490" s="5" t="s">
        <v>170</v>
      </c>
      <c r="B490" s="34" t="s">
        <v>171</v>
      </c>
      <c r="C490" s="399"/>
    </row>
    <row r="491" spans="1:3" ht="24.75" customHeight="1" hidden="1">
      <c r="A491" s="5" t="s">
        <v>172</v>
      </c>
      <c r="B491" s="34" t="s">
        <v>155</v>
      </c>
      <c r="C491" s="399"/>
    </row>
    <row r="492" spans="1:3" ht="24.75" customHeight="1" hidden="1">
      <c r="A492" s="5" t="s">
        <v>173</v>
      </c>
      <c r="B492" s="34" t="s">
        <v>156</v>
      </c>
      <c r="C492" s="399"/>
    </row>
    <row r="493" spans="1:3" ht="24.75" customHeight="1" hidden="1">
      <c r="A493" s="5" t="s">
        <v>174</v>
      </c>
      <c r="B493" s="34" t="s">
        <v>175</v>
      </c>
      <c r="C493" s="399"/>
    </row>
    <row r="494" spans="1:3" ht="24.75" customHeight="1" hidden="1">
      <c r="A494" s="395" t="s">
        <v>73</v>
      </c>
      <c r="B494" s="396" t="s">
        <v>348</v>
      </c>
      <c r="C494" s="398">
        <f>SUM(C495:C497)</f>
        <v>11</v>
      </c>
    </row>
    <row r="495" spans="1:3" ht="24.75" customHeight="1" hidden="1">
      <c r="A495" s="5" t="s">
        <v>176</v>
      </c>
      <c r="B495" s="34" t="s">
        <v>167</v>
      </c>
      <c r="C495" s="399">
        <v>11</v>
      </c>
    </row>
    <row r="496" spans="1:3" ht="24.75" customHeight="1" hidden="1">
      <c r="A496" s="5" t="s">
        <v>177</v>
      </c>
      <c r="B496" s="34" t="s">
        <v>169</v>
      </c>
      <c r="C496" s="399">
        <v>0</v>
      </c>
    </row>
    <row r="497" spans="1:3" ht="24.75" customHeight="1" hidden="1">
      <c r="A497" s="5" t="s">
        <v>178</v>
      </c>
      <c r="B497" s="34" t="s">
        <v>179</v>
      </c>
      <c r="C497" s="399">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40">
    <mergeCell ref="A472:B472"/>
    <mergeCell ref="A431:B431"/>
    <mergeCell ref="A432:B432"/>
    <mergeCell ref="A470:C470"/>
    <mergeCell ref="A317:B317"/>
    <mergeCell ref="A239:B239"/>
    <mergeCell ref="A279:B279"/>
    <mergeCell ref="A277:C277"/>
    <mergeCell ref="A315:C315"/>
    <mergeCell ref="A353:B353"/>
    <mergeCell ref="A278:B278"/>
    <mergeCell ref="A237:C237"/>
    <mergeCell ref="A199:C199"/>
    <mergeCell ref="A354:B354"/>
    <mergeCell ref="A395:B395"/>
    <mergeCell ref="A396:B396"/>
    <mergeCell ref="A394:C394"/>
    <mergeCell ref="A316:B316"/>
    <mergeCell ref="A201:B201"/>
    <mergeCell ref="A200:B200"/>
    <mergeCell ref="A46:B46"/>
    <mergeCell ref="A83:B83"/>
    <mergeCell ref="A120:C120"/>
    <mergeCell ref="A471:B471"/>
    <mergeCell ref="A352:C352"/>
    <mergeCell ref="A430:C430"/>
    <mergeCell ref="A122:B122"/>
    <mergeCell ref="A160:C160"/>
    <mergeCell ref="A84:B84"/>
    <mergeCell ref="A161:B161"/>
    <mergeCell ref="B30:C30"/>
    <mergeCell ref="A162:B162"/>
    <mergeCell ref="A238:B238"/>
    <mergeCell ref="A3:B3"/>
    <mergeCell ref="A1:C1"/>
    <mergeCell ref="A2:B2"/>
    <mergeCell ref="A121:B121"/>
    <mergeCell ref="A82:C82"/>
    <mergeCell ref="A44:C44"/>
    <mergeCell ref="A45:B45"/>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19"/>
  <sheetViews>
    <sheetView showZeros="0" zoomScaleSheetLayoutView="85" zoomScalePageLayoutView="0" workbookViewId="0" topLeftCell="A1">
      <selection activeCell="E14" sqref="E14"/>
    </sheetView>
  </sheetViews>
  <sheetFormatPr defaultColWidth="9.00390625" defaultRowHeight="15.75"/>
  <cols>
    <col min="1" max="1" width="4.875" style="434" customWidth="1"/>
    <col min="2" max="2" width="22.625" style="388" customWidth="1"/>
    <col min="3" max="3" width="11.00390625" style="388" customWidth="1"/>
    <col min="4" max="4" width="9.125" style="388" customWidth="1"/>
    <col min="5" max="5" width="10.25390625" style="388" customWidth="1"/>
    <col min="6" max="6" width="7.375" style="388" customWidth="1"/>
    <col min="7" max="7" width="9.50390625" style="388" customWidth="1"/>
    <col min="8" max="13" width="7.375" style="388" customWidth="1"/>
    <col min="14" max="14" width="6.25390625" style="388" customWidth="1"/>
    <col min="15" max="15" width="6.50390625" style="388" customWidth="1"/>
    <col min="16" max="16384" width="9.00390625" style="388" customWidth="1"/>
  </cols>
  <sheetData>
    <row r="1" spans="1:15" ht="21" customHeight="1">
      <c r="A1" s="1257" t="s">
        <v>29</v>
      </c>
      <c r="B1" s="1257"/>
      <c r="C1" s="414"/>
      <c r="D1" s="1258" t="s">
        <v>81</v>
      </c>
      <c r="E1" s="1258"/>
      <c r="F1" s="1258"/>
      <c r="G1" s="1258"/>
      <c r="H1" s="1258"/>
      <c r="I1" s="1258"/>
      <c r="J1" s="1258"/>
      <c r="K1" s="1258"/>
      <c r="L1" s="1259" t="s">
        <v>540</v>
      </c>
      <c r="M1" s="1259"/>
      <c r="N1" s="1259"/>
      <c r="O1" s="1259"/>
    </row>
    <row r="2" spans="1:15" ht="16.5" customHeight="1">
      <c r="A2" s="416" t="s">
        <v>342</v>
      </c>
      <c r="B2" s="416"/>
      <c r="C2" s="416"/>
      <c r="D2" s="1258" t="s">
        <v>182</v>
      </c>
      <c r="E2" s="1258"/>
      <c r="F2" s="1258"/>
      <c r="G2" s="1258"/>
      <c r="H2" s="1258"/>
      <c r="I2" s="1258"/>
      <c r="J2" s="1258"/>
      <c r="K2" s="1258"/>
      <c r="L2" s="1260" t="str">
        <f>'Thong tin'!B4</f>
        <v>Cục THADS tỉnh Tuyên Quang</v>
      </c>
      <c r="M2" s="1260"/>
      <c r="N2" s="1260"/>
      <c r="O2" s="1260"/>
    </row>
    <row r="3" spans="1:15" ht="16.5" customHeight="1">
      <c r="A3" s="416" t="s">
        <v>343</v>
      </c>
      <c r="B3" s="416"/>
      <c r="C3" s="416"/>
      <c r="D3" s="1281" t="str">
        <f>'Thong tin'!B3</f>
        <v>03 tháng / năm 2018</v>
      </c>
      <c r="E3" s="1281"/>
      <c r="F3" s="1281"/>
      <c r="G3" s="1281"/>
      <c r="H3" s="1281"/>
      <c r="I3" s="1281"/>
      <c r="J3" s="1281"/>
      <c r="K3" s="1281"/>
      <c r="L3" s="1259" t="s">
        <v>507</v>
      </c>
      <c r="M3" s="1259"/>
      <c r="N3" s="1259"/>
      <c r="O3" s="1259"/>
    </row>
    <row r="4" spans="1:15" ht="16.5" customHeight="1">
      <c r="A4" s="432" t="s">
        <v>118</v>
      </c>
      <c r="B4" s="432"/>
      <c r="C4" s="419"/>
      <c r="D4" s="420"/>
      <c r="E4" s="420"/>
      <c r="F4" s="419"/>
      <c r="G4" s="421"/>
      <c r="H4" s="421"/>
      <c r="I4" s="421"/>
      <c r="J4" s="419"/>
      <c r="K4" s="420"/>
      <c r="L4" s="1260" t="s">
        <v>410</v>
      </c>
      <c r="M4" s="1260"/>
      <c r="N4" s="1260"/>
      <c r="O4" s="1260"/>
    </row>
    <row r="5" spans="1:15" ht="16.5" customHeight="1">
      <c r="A5" s="422"/>
      <c r="B5" s="419"/>
      <c r="C5" s="419"/>
      <c r="D5" s="419"/>
      <c r="E5" s="419"/>
      <c r="F5" s="423"/>
      <c r="G5" s="424"/>
      <c r="H5" s="424"/>
      <c r="I5" s="424"/>
      <c r="J5" s="423"/>
      <c r="K5" s="425"/>
      <c r="L5" s="436"/>
      <c r="M5" s="436" t="s">
        <v>8</v>
      </c>
      <c r="N5" s="415"/>
      <c r="O5" s="415"/>
    </row>
    <row r="6" spans="1:15" ht="18.75" customHeight="1">
      <c r="A6" s="1279" t="s">
        <v>68</v>
      </c>
      <c r="B6" s="1279"/>
      <c r="C6" s="1279" t="s">
        <v>37</v>
      </c>
      <c r="D6" s="1279" t="s">
        <v>335</v>
      </c>
      <c r="E6" s="1279"/>
      <c r="F6" s="1279"/>
      <c r="G6" s="1279"/>
      <c r="H6" s="1279"/>
      <c r="I6" s="1279"/>
      <c r="J6" s="1279"/>
      <c r="K6" s="1279"/>
      <c r="L6" s="1279"/>
      <c r="M6" s="1279"/>
      <c r="N6" s="1279"/>
      <c r="O6" s="1279"/>
    </row>
    <row r="7" spans="1:15" ht="20.25" customHeight="1">
      <c r="A7" s="1279"/>
      <c r="B7" s="1279"/>
      <c r="C7" s="1279"/>
      <c r="D7" s="1304" t="s">
        <v>119</v>
      </c>
      <c r="E7" s="1302" t="s">
        <v>120</v>
      </c>
      <c r="F7" s="1302"/>
      <c r="G7" s="1302"/>
      <c r="H7" s="1302" t="s">
        <v>121</v>
      </c>
      <c r="I7" s="1302" t="s">
        <v>122</v>
      </c>
      <c r="J7" s="1302" t="s">
        <v>123</v>
      </c>
      <c r="K7" s="1302" t="s">
        <v>124</v>
      </c>
      <c r="L7" s="1302" t="s">
        <v>125</v>
      </c>
      <c r="M7" s="1302" t="s">
        <v>126</v>
      </c>
      <c r="N7" s="1302" t="s">
        <v>183</v>
      </c>
      <c r="O7" s="1302" t="s">
        <v>127</v>
      </c>
    </row>
    <row r="8" spans="1:15" ht="19.5" customHeight="1">
      <c r="A8" s="1279"/>
      <c r="B8" s="1279"/>
      <c r="C8" s="1279"/>
      <c r="D8" s="1304"/>
      <c r="E8" s="1302" t="s">
        <v>36</v>
      </c>
      <c r="F8" s="1302" t="s">
        <v>7</v>
      </c>
      <c r="G8" s="1302"/>
      <c r="H8" s="1302"/>
      <c r="I8" s="1302"/>
      <c r="J8" s="1302"/>
      <c r="K8" s="1302"/>
      <c r="L8" s="1302"/>
      <c r="M8" s="1302"/>
      <c r="N8" s="1302"/>
      <c r="O8" s="1302"/>
    </row>
    <row r="9" spans="1:15" ht="39.75" customHeight="1">
      <c r="A9" s="1279"/>
      <c r="B9" s="1279"/>
      <c r="C9" s="1279"/>
      <c r="D9" s="1304"/>
      <c r="E9" s="1302"/>
      <c r="F9" s="558" t="s">
        <v>128</v>
      </c>
      <c r="G9" s="558" t="s">
        <v>129</v>
      </c>
      <c r="H9" s="1302"/>
      <c r="I9" s="1302"/>
      <c r="J9" s="1302"/>
      <c r="K9" s="1302"/>
      <c r="L9" s="1302"/>
      <c r="M9" s="1302"/>
      <c r="N9" s="1302"/>
      <c r="O9" s="1302"/>
    </row>
    <row r="10" spans="1:15" s="393" customFormat="1" ht="17.25" customHeight="1">
      <c r="A10" s="1303" t="s">
        <v>39</v>
      </c>
      <c r="B10" s="1303"/>
      <c r="C10" s="515">
        <v>1</v>
      </c>
      <c r="D10" s="515">
        <v>2</v>
      </c>
      <c r="E10" s="515">
        <v>3</v>
      </c>
      <c r="F10" s="515">
        <v>4</v>
      </c>
      <c r="G10" s="515">
        <v>5</v>
      </c>
      <c r="H10" s="515">
        <v>6</v>
      </c>
      <c r="I10" s="515">
        <v>7</v>
      </c>
      <c r="J10" s="515">
        <v>8</v>
      </c>
      <c r="K10" s="515">
        <v>9</v>
      </c>
      <c r="L10" s="515">
        <v>10</v>
      </c>
      <c r="M10" s="515">
        <v>11</v>
      </c>
      <c r="N10" s="515">
        <v>12</v>
      </c>
      <c r="O10" s="515">
        <v>13</v>
      </c>
    </row>
    <row r="11" spans="1:15" s="920" customFormat="1" ht="22.5" customHeight="1">
      <c r="A11" s="20" t="s">
        <v>0</v>
      </c>
      <c r="B11" s="948" t="s">
        <v>130</v>
      </c>
      <c r="C11" s="646">
        <f aca="true" t="shared" si="0" ref="C11:C17">SUM(D11,E11,H11:O11)</f>
        <v>802</v>
      </c>
      <c r="D11" s="782">
        <f>SUM(D12:D13)</f>
        <v>436</v>
      </c>
      <c r="E11" s="782">
        <f>SUM(E12:E13)</f>
        <v>200</v>
      </c>
      <c r="F11" s="782">
        <f>SUM(F12:F13)</f>
        <v>0</v>
      </c>
      <c r="G11" s="782">
        <f aca="true" t="shared" si="1" ref="G11:O11">SUM(G12:G13)</f>
        <v>200</v>
      </c>
      <c r="H11" s="782">
        <f t="shared" si="1"/>
        <v>0</v>
      </c>
      <c r="I11" s="782">
        <f t="shared" si="1"/>
        <v>152</v>
      </c>
      <c r="J11" s="782">
        <f t="shared" si="1"/>
        <v>12</v>
      </c>
      <c r="K11" s="782">
        <f>SUM(K12:K13)</f>
        <v>2</v>
      </c>
      <c r="L11" s="638">
        <f t="shared" si="1"/>
        <v>0</v>
      </c>
      <c r="M11" s="638">
        <f t="shared" si="1"/>
        <v>0</v>
      </c>
      <c r="N11" s="638">
        <f t="shared" si="1"/>
        <v>0</v>
      </c>
      <c r="O11" s="638">
        <f t="shared" si="1"/>
        <v>0</v>
      </c>
    </row>
    <row r="12" spans="1:15" s="920" customFormat="1" ht="22.5" customHeight="1">
      <c r="A12" s="921">
        <v>1</v>
      </c>
      <c r="B12" s="922" t="s">
        <v>131</v>
      </c>
      <c r="C12" s="656">
        <f>SUM(D12,E12,H12:O12)</f>
        <v>615</v>
      </c>
      <c r="D12" s="655">
        <f>D42+D66+D89+D112+D135+D158+D181+D205</f>
        <v>359</v>
      </c>
      <c r="E12" s="778">
        <f>F12+G12</f>
        <v>162</v>
      </c>
      <c r="F12" s="655">
        <f>F42+F66+F89+F112+F135+F158+F181+F205</f>
        <v>0</v>
      </c>
      <c r="G12" s="655">
        <f aca="true" t="shared" si="2" ref="G12:O12">G42+G66+G89+G112+G135+G158+G181+G205</f>
        <v>162</v>
      </c>
      <c r="H12" s="655">
        <f t="shared" si="2"/>
        <v>0</v>
      </c>
      <c r="I12" s="655">
        <f t="shared" si="2"/>
        <v>82</v>
      </c>
      <c r="J12" s="655">
        <f t="shared" si="2"/>
        <v>10</v>
      </c>
      <c r="K12" s="655">
        <f t="shared" si="2"/>
        <v>2</v>
      </c>
      <c r="L12" s="655">
        <f t="shared" si="2"/>
        <v>0</v>
      </c>
      <c r="M12" s="655">
        <f t="shared" si="2"/>
        <v>0</v>
      </c>
      <c r="N12" s="655">
        <f t="shared" si="2"/>
        <v>0</v>
      </c>
      <c r="O12" s="655">
        <f t="shared" si="2"/>
        <v>0</v>
      </c>
    </row>
    <row r="13" spans="1:15" s="920" customFormat="1" ht="22.5" customHeight="1">
      <c r="A13" s="921">
        <v>2</v>
      </c>
      <c r="B13" s="922" t="s">
        <v>132</v>
      </c>
      <c r="C13" s="656">
        <f>SUM(D13,E13,H13:O13)</f>
        <v>187</v>
      </c>
      <c r="D13" s="655">
        <f>D43+D67+D90+D113+D136+D159+D182+D206</f>
        <v>77</v>
      </c>
      <c r="E13" s="778">
        <f>F13+G13</f>
        <v>38</v>
      </c>
      <c r="F13" s="655">
        <f aca="true" t="shared" si="3" ref="F13:O14">F43+F67+F90+F113+F136+F159+F182+F206</f>
        <v>0</v>
      </c>
      <c r="G13" s="655">
        <f t="shared" si="3"/>
        <v>38</v>
      </c>
      <c r="H13" s="655">
        <f t="shared" si="3"/>
        <v>0</v>
      </c>
      <c r="I13" s="655">
        <f t="shared" si="3"/>
        <v>70</v>
      </c>
      <c r="J13" s="655">
        <f t="shared" si="3"/>
        <v>2</v>
      </c>
      <c r="K13" s="655">
        <f t="shared" si="3"/>
        <v>0</v>
      </c>
      <c r="L13" s="655">
        <f t="shared" si="3"/>
        <v>0</v>
      </c>
      <c r="M13" s="655">
        <f t="shared" si="3"/>
        <v>0</v>
      </c>
      <c r="N13" s="655">
        <f t="shared" si="3"/>
        <v>0</v>
      </c>
      <c r="O13" s="655">
        <f t="shared" si="3"/>
        <v>0</v>
      </c>
    </row>
    <row r="14" spans="1:15" s="920" customFormat="1" ht="22.5" customHeight="1">
      <c r="A14" s="20" t="s">
        <v>1</v>
      </c>
      <c r="B14" s="923" t="s">
        <v>133</v>
      </c>
      <c r="C14" s="656">
        <f t="shared" si="0"/>
        <v>4</v>
      </c>
      <c r="D14" s="655">
        <f>D44+D68+D91+D114+D137+D160+D183+D207</f>
        <v>0</v>
      </c>
      <c r="E14" s="778">
        <f>F14+G14</f>
        <v>2</v>
      </c>
      <c r="F14" s="655">
        <f t="shared" si="3"/>
        <v>0</v>
      </c>
      <c r="G14" s="655">
        <f t="shared" si="3"/>
        <v>2</v>
      </c>
      <c r="H14" s="655">
        <f t="shared" si="3"/>
        <v>0</v>
      </c>
      <c r="I14" s="655">
        <f t="shared" si="3"/>
        <v>2</v>
      </c>
      <c r="J14" s="655">
        <f t="shared" si="3"/>
        <v>0</v>
      </c>
      <c r="K14" s="655">
        <f t="shared" si="3"/>
        <v>0</v>
      </c>
      <c r="L14" s="655">
        <f t="shared" si="3"/>
        <v>0</v>
      </c>
      <c r="M14" s="655">
        <f t="shared" si="3"/>
        <v>0</v>
      </c>
      <c r="N14" s="655">
        <f t="shared" si="3"/>
        <v>0</v>
      </c>
      <c r="O14" s="655">
        <f t="shared" si="3"/>
        <v>0</v>
      </c>
    </row>
    <row r="15" spans="1:15" s="920" customFormat="1" ht="22.5" customHeight="1">
      <c r="A15" s="20" t="s">
        <v>9</v>
      </c>
      <c r="B15" s="923" t="s">
        <v>134</v>
      </c>
      <c r="C15" s="656"/>
      <c r="D15" s="655"/>
      <c r="E15" s="657">
        <f>F15+G15</f>
        <v>0</v>
      </c>
      <c r="F15" s="655">
        <f aca="true" t="shared" si="4" ref="F15:O15">F45+F69+F92+F115+F138+F161+F184</f>
        <v>0</v>
      </c>
      <c r="G15" s="779"/>
      <c r="H15" s="655">
        <f t="shared" si="4"/>
        <v>0</v>
      </c>
      <c r="I15" s="655">
        <f t="shared" si="4"/>
        <v>0</v>
      </c>
      <c r="J15" s="655">
        <f t="shared" si="4"/>
        <v>0</v>
      </c>
      <c r="K15" s="655">
        <f t="shared" si="4"/>
        <v>0</v>
      </c>
      <c r="L15" s="655">
        <f t="shared" si="4"/>
        <v>0</v>
      </c>
      <c r="M15" s="655">
        <f t="shared" si="4"/>
        <v>0</v>
      </c>
      <c r="N15" s="655">
        <f t="shared" si="4"/>
        <v>0</v>
      </c>
      <c r="O15" s="655">
        <f t="shared" si="4"/>
        <v>0</v>
      </c>
    </row>
    <row r="16" spans="1:15" s="920" customFormat="1" ht="22.5" customHeight="1">
      <c r="A16" s="20" t="s">
        <v>135</v>
      </c>
      <c r="B16" s="923" t="s">
        <v>136</v>
      </c>
      <c r="C16" s="783">
        <f>SUM(D16,E16,H16:O16)</f>
        <v>798</v>
      </c>
      <c r="D16" s="783">
        <f>D11-SUM(D14,D15)</f>
        <v>436</v>
      </c>
      <c r="E16" s="784">
        <f>SUM(F16:G16)</f>
        <v>198</v>
      </c>
      <c r="F16" s="783">
        <f>F11-SUM(F14,F15)</f>
        <v>0</v>
      </c>
      <c r="G16" s="783">
        <f>G11-SUM(G14)</f>
        <v>198</v>
      </c>
      <c r="H16" s="783">
        <f aca="true" t="shared" si="5" ref="H16:O16">H11-SUM(H14,H15)</f>
        <v>0</v>
      </c>
      <c r="I16" s="783">
        <f t="shared" si="5"/>
        <v>150</v>
      </c>
      <c r="J16" s="783">
        <f t="shared" si="5"/>
        <v>12</v>
      </c>
      <c r="K16" s="783">
        <f t="shared" si="5"/>
        <v>2</v>
      </c>
      <c r="L16" s="658">
        <f t="shared" si="5"/>
        <v>0</v>
      </c>
      <c r="M16" s="658">
        <f t="shared" si="5"/>
        <v>0</v>
      </c>
      <c r="N16" s="658">
        <f t="shared" si="5"/>
        <v>0</v>
      </c>
      <c r="O16" s="658">
        <f t="shared" si="5"/>
        <v>0</v>
      </c>
    </row>
    <row r="17" spans="1:15" s="920" customFormat="1" ht="22.5" customHeight="1">
      <c r="A17" s="20" t="s">
        <v>51</v>
      </c>
      <c r="B17" s="923" t="s">
        <v>137</v>
      </c>
      <c r="C17" s="783">
        <f t="shared" si="0"/>
        <v>359</v>
      </c>
      <c r="D17" s="785">
        <f aca="true" t="shared" si="6" ref="D17:N17">SUM(D18:D24)</f>
        <v>224</v>
      </c>
      <c r="E17" s="784">
        <f aca="true" t="shared" si="7" ref="E17:E24">SUM(F17:G17)</f>
        <v>39</v>
      </c>
      <c r="F17" s="785">
        <f t="shared" si="6"/>
        <v>0</v>
      </c>
      <c r="G17" s="785">
        <f t="shared" si="6"/>
        <v>39</v>
      </c>
      <c r="H17" s="785">
        <f t="shared" si="6"/>
        <v>0</v>
      </c>
      <c r="I17" s="785">
        <f t="shared" si="6"/>
        <v>91</v>
      </c>
      <c r="J17" s="785">
        <f t="shared" si="6"/>
        <v>4</v>
      </c>
      <c r="K17" s="785">
        <f t="shared" si="6"/>
        <v>1</v>
      </c>
      <c r="L17" s="660">
        <f t="shared" si="6"/>
        <v>0</v>
      </c>
      <c r="M17" s="660">
        <f t="shared" si="6"/>
        <v>0</v>
      </c>
      <c r="N17" s="660">
        <f t="shared" si="6"/>
        <v>0</v>
      </c>
      <c r="O17" s="660">
        <f>SUM(O18:O24)</f>
        <v>0</v>
      </c>
    </row>
    <row r="18" spans="1:15" s="920" customFormat="1" ht="19.5" customHeight="1">
      <c r="A18" s="921" t="s">
        <v>53</v>
      </c>
      <c r="B18" s="922" t="s">
        <v>138</v>
      </c>
      <c r="C18" s="656">
        <f>D18+E18+H18+I18+J18+K18+L18+M18+N18+O18</f>
        <v>60</v>
      </c>
      <c r="D18" s="655">
        <f>D48+D72+D95+D118+D141+D164+D187+D211</f>
        <v>23</v>
      </c>
      <c r="E18" s="780">
        <f>F18+G18</f>
        <v>12</v>
      </c>
      <c r="F18" s="655">
        <f>F48+F72+F95+F118+F141+F164+F187+F211</f>
        <v>0</v>
      </c>
      <c r="G18" s="655">
        <f aca="true" t="shared" si="8" ref="G18:O18">G48+G72+G95+G118+G141+G164+G187+G211</f>
        <v>12</v>
      </c>
      <c r="H18" s="655">
        <f t="shared" si="8"/>
        <v>0</v>
      </c>
      <c r="I18" s="655">
        <f t="shared" si="8"/>
        <v>24</v>
      </c>
      <c r="J18" s="655">
        <f t="shared" si="8"/>
        <v>1</v>
      </c>
      <c r="K18" s="655">
        <f t="shared" si="8"/>
        <v>0</v>
      </c>
      <c r="L18" s="655">
        <f t="shared" si="8"/>
        <v>0</v>
      </c>
      <c r="M18" s="655">
        <f t="shared" si="8"/>
        <v>0</v>
      </c>
      <c r="N18" s="655">
        <f t="shared" si="8"/>
        <v>0</v>
      </c>
      <c r="O18" s="655">
        <f t="shared" si="8"/>
        <v>0</v>
      </c>
    </row>
    <row r="19" spans="1:15" s="920" customFormat="1" ht="19.5" customHeight="1">
      <c r="A19" s="921" t="s">
        <v>54</v>
      </c>
      <c r="B19" s="922" t="s">
        <v>139</v>
      </c>
      <c r="C19" s="656">
        <f aca="true" t="shared" si="9" ref="C19:C24">D19+E19+H19+I19+J19+K19+L19+M19+N19+O19</f>
        <v>4</v>
      </c>
      <c r="D19" s="655">
        <f aca="true" t="shared" si="10" ref="D19:D24">D49+D73+D96+D119+D142+D165+D188+D212</f>
        <v>3</v>
      </c>
      <c r="E19" s="780">
        <f t="shared" si="7"/>
        <v>0</v>
      </c>
      <c r="F19" s="655">
        <f aca="true" t="shared" si="11" ref="F19:O24">F49+F73+F96+F119+F142+F165+F188+F212</f>
        <v>0</v>
      </c>
      <c r="G19" s="655">
        <f t="shared" si="11"/>
        <v>0</v>
      </c>
      <c r="H19" s="655">
        <f t="shared" si="11"/>
        <v>0</v>
      </c>
      <c r="I19" s="655">
        <f t="shared" si="11"/>
        <v>0</v>
      </c>
      <c r="J19" s="655">
        <f t="shared" si="11"/>
        <v>1</v>
      </c>
      <c r="K19" s="655">
        <f t="shared" si="11"/>
        <v>0</v>
      </c>
      <c r="L19" s="655">
        <f t="shared" si="11"/>
        <v>0</v>
      </c>
      <c r="M19" s="655">
        <f t="shared" si="11"/>
        <v>0</v>
      </c>
      <c r="N19" s="655">
        <f t="shared" si="11"/>
        <v>0</v>
      </c>
      <c r="O19" s="655">
        <f t="shared" si="11"/>
        <v>0</v>
      </c>
    </row>
    <row r="20" spans="1:15" s="920" customFormat="1" ht="19.5" customHeight="1">
      <c r="A20" s="921" t="s">
        <v>140</v>
      </c>
      <c r="B20" s="922" t="s">
        <v>141</v>
      </c>
      <c r="C20" s="656">
        <f>D20+E20+H20+I20+J20+K20+L20+M20+N20+O20</f>
        <v>269</v>
      </c>
      <c r="D20" s="655">
        <f t="shared" si="10"/>
        <v>172</v>
      </c>
      <c r="E20" s="780">
        <f t="shared" si="7"/>
        <v>27</v>
      </c>
      <c r="F20" s="655">
        <f t="shared" si="11"/>
        <v>0</v>
      </c>
      <c r="G20" s="655">
        <f t="shared" si="11"/>
        <v>27</v>
      </c>
      <c r="H20" s="655">
        <f t="shared" si="11"/>
        <v>0</v>
      </c>
      <c r="I20" s="655">
        <f t="shared" si="11"/>
        <v>67</v>
      </c>
      <c r="J20" s="655">
        <f t="shared" si="11"/>
        <v>2</v>
      </c>
      <c r="K20" s="655">
        <f t="shared" si="11"/>
        <v>1</v>
      </c>
      <c r="L20" s="655">
        <f t="shared" si="11"/>
        <v>0</v>
      </c>
      <c r="M20" s="655">
        <f t="shared" si="11"/>
        <v>0</v>
      </c>
      <c r="N20" s="655">
        <f t="shared" si="11"/>
        <v>0</v>
      </c>
      <c r="O20" s="655">
        <f t="shared" si="11"/>
        <v>0</v>
      </c>
    </row>
    <row r="21" spans="1:15" s="920" customFormat="1" ht="19.5" customHeight="1">
      <c r="A21" s="921" t="s">
        <v>142</v>
      </c>
      <c r="B21" s="922" t="s">
        <v>143</v>
      </c>
      <c r="C21" s="656">
        <f t="shared" si="9"/>
        <v>24</v>
      </c>
      <c r="D21" s="655">
        <f t="shared" si="10"/>
        <v>24</v>
      </c>
      <c r="E21" s="661">
        <f t="shared" si="7"/>
        <v>0</v>
      </c>
      <c r="F21" s="655">
        <f t="shared" si="11"/>
        <v>0</v>
      </c>
      <c r="G21" s="655">
        <f t="shared" si="11"/>
        <v>0</v>
      </c>
      <c r="H21" s="655">
        <f t="shared" si="11"/>
        <v>0</v>
      </c>
      <c r="I21" s="655">
        <f t="shared" si="11"/>
        <v>0</v>
      </c>
      <c r="J21" s="655">
        <f t="shared" si="11"/>
        <v>0</v>
      </c>
      <c r="K21" s="655">
        <f t="shared" si="11"/>
        <v>0</v>
      </c>
      <c r="L21" s="655">
        <f t="shared" si="11"/>
        <v>0</v>
      </c>
      <c r="M21" s="655">
        <f t="shared" si="11"/>
        <v>0</v>
      </c>
      <c r="N21" s="655">
        <f t="shared" si="11"/>
        <v>0</v>
      </c>
      <c r="O21" s="655">
        <f t="shared" si="11"/>
        <v>0</v>
      </c>
    </row>
    <row r="22" spans="1:15" s="920" customFormat="1" ht="19.5" customHeight="1">
      <c r="A22" s="921" t="s">
        <v>144</v>
      </c>
      <c r="B22" s="922" t="s">
        <v>145</v>
      </c>
      <c r="C22" s="656">
        <f t="shared" si="9"/>
        <v>0</v>
      </c>
      <c r="D22" s="655">
        <f t="shared" si="10"/>
        <v>0</v>
      </c>
      <c r="E22" s="661">
        <f t="shared" si="7"/>
        <v>0</v>
      </c>
      <c r="F22" s="655">
        <f t="shared" si="11"/>
        <v>0</v>
      </c>
      <c r="G22" s="655">
        <f t="shared" si="11"/>
        <v>0</v>
      </c>
      <c r="H22" s="655">
        <f t="shared" si="11"/>
        <v>0</v>
      </c>
      <c r="I22" s="655">
        <f t="shared" si="11"/>
        <v>0</v>
      </c>
      <c r="J22" s="655">
        <f t="shared" si="11"/>
        <v>0</v>
      </c>
      <c r="K22" s="655">
        <f t="shared" si="11"/>
        <v>0</v>
      </c>
      <c r="L22" s="655">
        <f t="shared" si="11"/>
        <v>0</v>
      </c>
      <c r="M22" s="655">
        <f t="shared" si="11"/>
        <v>0</v>
      </c>
      <c r="N22" s="655">
        <f t="shared" si="11"/>
        <v>0</v>
      </c>
      <c r="O22" s="655">
        <f t="shared" si="11"/>
        <v>0</v>
      </c>
    </row>
    <row r="23" spans="1:15" s="920" customFormat="1" ht="30">
      <c r="A23" s="921" t="s">
        <v>146</v>
      </c>
      <c r="B23" s="925" t="s">
        <v>147</v>
      </c>
      <c r="C23" s="656">
        <f t="shared" si="9"/>
        <v>0</v>
      </c>
      <c r="D23" s="655">
        <f t="shared" si="10"/>
        <v>0</v>
      </c>
      <c r="E23" s="661">
        <f>SUM(F23:G23)</f>
        <v>0</v>
      </c>
      <c r="F23" s="655">
        <f t="shared" si="11"/>
        <v>0</v>
      </c>
      <c r="G23" s="655">
        <f t="shared" si="11"/>
        <v>0</v>
      </c>
      <c r="H23" s="655">
        <f t="shared" si="11"/>
        <v>0</v>
      </c>
      <c r="I23" s="655">
        <f t="shared" si="11"/>
        <v>0</v>
      </c>
      <c r="J23" s="655">
        <f t="shared" si="11"/>
        <v>0</v>
      </c>
      <c r="K23" s="655">
        <f t="shared" si="11"/>
        <v>0</v>
      </c>
      <c r="L23" s="655">
        <f t="shared" si="11"/>
        <v>0</v>
      </c>
      <c r="M23" s="655">
        <f t="shared" si="11"/>
        <v>0</v>
      </c>
      <c r="N23" s="655">
        <f t="shared" si="11"/>
        <v>0</v>
      </c>
      <c r="O23" s="655">
        <f t="shared" si="11"/>
        <v>0</v>
      </c>
    </row>
    <row r="24" spans="1:15" s="920" customFormat="1" ht="19.5" customHeight="1">
      <c r="A24" s="921" t="s">
        <v>148</v>
      </c>
      <c r="B24" s="922" t="s">
        <v>149</v>
      </c>
      <c r="C24" s="656">
        <f t="shared" si="9"/>
        <v>2</v>
      </c>
      <c r="D24" s="655">
        <f t="shared" si="10"/>
        <v>2</v>
      </c>
      <c r="E24" s="661">
        <f t="shared" si="7"/>
        <v>0</v>
      </c>
      <c r="F24" s="655">
        <f t="shared" si="11"/>
        <v>0</v>
      </c>
      <c r="G24" s="655">
        <f t="shared" si="11"/>
        <v>0</v>
      </c>
      <c r="H24" s="655">
        <f t="shared" si="11"/>
        <v>0</v>
      </c>
      <c r="I24" s="655">
        <f t="shared" si="11"/>
        <v>0</v>
      </c>
      <c r="J24" s="655">
        <f t="shared" si="11"/>
        <v>0</v>
      </c>
      <c r="K24" s="655">
        <f t="shared" si="11"/>
        <v>0</v>
      </c>
      <c r="L24" s="655">
        <f t="shared" si="11"/>
        <v>0</v>
      </c>
      <c r="M24" s="655">
        <f t="shared" si="11"/>
        <v>0</v>
      </c>
      <c r="N24" s="655">
        <f t="shared" si="11"/>
        <v>0</v>
      </c>
      <c r="O24" s="655">
        <f t="shared" si="11"/>
        <v>0</v>
      </c>
    </row>
    <row r="25" spans="1:15" s="920" customFormat="1" ht="22.5" customHeight="1">
      <c r="A25" s="20" t="s">
        <v>52</v>
      </c>
      <c r="B25" s="923" t="s">
        <v>150</v>
      </c>
      <c r="C25" s="646">
        <f>C16-C17</f>
        <v>439</v>
      </c>
      <c r="D25" s="646">
        <f>D16-D17</f>
        <v>212</v>
      </c>
      <c r="E25" s="646">
        <f aca="true" t="shared" si="12" ref="E25:O25">E16-E17</f>
        <v>159</v>
      </c>
      <c r="F25" s="646">
        <f t="shared" si="12"/>
        <v>0</v>
      </c>
      <c r="G25" s="646">
        <f t="shared" si="12"/>
        <v>159</v>
      </c>
      <c r="H25" s="646">
        <f t="shared" si="12"/>
        <v>0</v>
      </c>
      <c r="I25" s="646">
        <f t="shared" si="12"/>
        <v>59</v>
      </c>
      <c r="J25" s="646">
        <f t="shared" si="12"/>
        <v>8</v>
      </c>
      <c r="K25" s="646">
        <f t="shared" si="12"/>
        <v>1</v>
      </c>
      <c r="L25" s="630">
        <f t="shared" si="12"/>
        <v>0</v>
      </c>
      <c r="M25" s="630">
        <f t="shared" si="12"/>
        <v>0</v>
      </c>
      <c r="N25" s="630">
        <f t="shared" si="12"/>
        <v>0</v>
      </c>
      <c r="O25" s="630">
        <f t="shared" si="12"/>
        <v>0</v>
      </c>
    </row>
    <row r="26" spans="1:15" s="920" customFormat="1" ht="32.25" customHeight="1">
      <c r="A26" s="949" t="s">
        <v>538</v>
      </c>
      <c r="B26" s="950" t="s">
        <v>731</v>
      </c>
      <c r="C26" s="790">
        <f>(C18+C19)/C17</f>
        <v>0.17827298050139276</v>
      </c>
      <c r="D26" s="790">
        <f aca="true" t="shared" si="13" ref="D26:O26">(D18+D19)/D17</f>
        <v>0.11607142857142858</v>
      </c>
      <c r="E26" s="790">
        <f t="shared" si="13"/>
        <v>0.3076923076923077</v>
      </c>
      <c r="F26" s="790" t="e">
        <f t="shared" si="13"/>
        <v>#DIV/0!</v>
      </c>
      <c r="G26" s="790">
        <f t="shared" si="13"/>
        <v>0.3076923076923077</v>
      </c>
      <c r="H26" s="790" t="e">
        <f t="shared" si="13"/>
        <v>#DIV/0!</v>
      </c>
      <c r="I26" s="790">
        <f t="shared" si="13"/>
        <v>0.26373626373626374</v>
      </c>
      <c r="J26" s="790">
        <f t="shared" si="13"/>
        <v>0.5</v>
      </c>
      <c r="K26" s="790">
        <f t="shared" si="13"/>
        <v>0</v>
      </c>
      <c r="L26" s="790" t="e">
        <f t="shared" si="13"/>
        <v>#DIV/0!</v>
      </c>
      <c r="M26" s="790" t="e">
        <f t="shared" si="13"/>
        <v>#DIV/0!</v>
      </c>
      <c r="N26" s="790" t="e">
        <f t="shared" si="13"/>
        <v>#DIV/0!</v>
      </c>
      <c r="O26" s="790" t="e">
        <f t="shared" si="13"/>
        <v>#DIV/0!</v>
      </c>
    </row>
    <row r="27" ht="23.25" customHeight="1"/>
    <row r="28" ht="0.75" customHeight="1"/>
    <row r="29" ht="26.25" customHeight="1"/>
    <row r="30" ht="0.75" customHeight="1" hidden="1"/>
    <row r="31" ht="0.75" customHeight="1" hidden="1"/>
    <row r="32" ht="15" hidden="1"/>
    <row r="33" ht="15" hidden="1"/>
    <row r="34" ht="15" hidden="1"/>
    <row r="35" ht="15" hidden="1">
      <c r="B35" s="675" t="s">
        <v>689</v>
      </c>
    </row>
    <row r="36" spans="1:15" ht="15" customHeight="1" hidden="1">
      <c r="A36" s="1279" t="s">
        <v>68</v>
      </c>
      <c r="B36" s="1279"/>
      <c r="C36" s="1279" t="s">
        <v>37</v>
      </c>
      <c r="D36" s="1279" t="s">
        <v>335</v>
      </c>
      <c r="E36" s="1279"/>
      <c r="F36" s="1279"/>
      <c r="G36" s="1279"/>
      <c r="H36" s="1279"/>
      <c r="I36" s="1279"/>
      <c r="J36" s="1279"/>
      <c r="K36" s="1279"/>
      <c r="L36" s="1279"/>
      <c r="M36" s="1279"/>
      <c r="N36" s="1279"/>
      <c r="O36" s="1279"/>
    </row>
    <row r="37" spans="1:15" ht="15" customHeight="1" hidden="1">
      <c r="A37" s="1279"/>
      <c r="B37" s="1279"/>
      <c r="C37" s="1279"/>
      <c r="D37" s="1304" t="s">
        <v>119</v>
      </c>
      <c r="E37" s="1302" t="s">
        <v>120</v>
      </c>
      <c r="F37" s="1302"/>
      <c r="G37" s="1302"/>
      <c r="H37" s="1302" t="s">
        <v>121</v>
      </c>
      <c r="I37" s="1302" t="s">
        <v>122</v>
      </c>
      <c r="J37" s="1302" t="s">
        <v>123</v>
      </c>
      <c r="K37" s="1302" t="s">
        <v>124</v>
      </c>
      <c r="L37" s="1302" t="s">
        <v>125</v>
      </c>
      <c r="M37" s="1302" t="s">
        <v>126</v>
      </c>
      <c r="N37" s="1302" t="s">
        <v>183</v>
      </c>
      <c r="O37" s="1302" t="s">
        <v>127</v>
      </c>
    </row>
    <row r="38" spans="1:15" ht="15" hidden="1">
      <c r="A38" s="1279"/>
      <c r="B38" s="1279"/>
      <c r="C38" s="1279"/>
      <c r="D38" s="1304"/>
      <c r="E38" s="1302" t="s">
        <v>36</v>
      </c>
      <c r="F38" s="1302" t="s">
        <v>7</v>
      </c>
      <c r="G38" s="1302"/>
      <c r="H38" s="1302"/>
      <c r="I38" s="1302"/>
      <c r="J38" s="1302"/>
      <c r="K38" s="1302"/>
      <c r="L38" s="1302"/>
      <c r="M38" s="1302"/>
      <c r="N38" s="1302"/>
      <c r="O38" s="1302"/>
    </row>
    <row r="39" spans="1:15" ht="30" hidden="1">
      <c r="A39" s="1279"/>
      <c r="B39" s="1279"/>
      <c r="C39" s="1279"/>
      <c r="D39" s="1304"/>
      <c r="E39" s="1302"/>
      <c r="F39" s="558" t="s">
        <v>128</v>
      </c>
      <c r="G39" s="558" t="s">
        <v>129</v>
      </c>
      <c r="H39" s="1302"/>
      <c r="I39" s="1302"/>
      <c r="J39" s="1302"/>
      <c r="K39" s="1302"/>
      <c r="L39" s="1302"/>
      <c r="M39" s="1302"/>
      <c r="N39" s="1302"/>
      <c r="O39" s="1302"/>
    </row>
    <row r="40" spans="1:15" ht="15" customHeight="1" hidden="1">
      <c r="A40" s="1303" t="s">
        <v>39</v>
      </c>
      <c r="B40" s="1303"/>
      <c r="C40" s="515">
        <v>1</v>
      </c>
      <c r="D40" s="515">
        <v>2</v>
      </c>
      <c r="E40" s="515">
        <v>3</v>
      </c>
      <c r="F40" s="515">
        <v>4</v>
      </c>
      <c r="G40" s="515">
        <v>5</v>
      </c>
      <c r="H40" s="515">
        <v>6</v>
      </c>
      <c r="I40" s="515">
        <v>7</v>
      </c>
      <c r="J40" s="515">
        <v>8</v>
      </c>
      <c r="K40" s="515">
        <v>9</v>
      </c>
      <c r="L40" s="515">
        <v>10</v>
      </c>
      <c r="M40" s="515">
        <v>11</v>
      </c>
      <c r="N40" s="515">
        <v>12</v>
      </c>
      <c r="O40" s="515">
        <v>13</v>
      </c>
    </row>
    <row r="41" spans="1:15" ht="15" hidden="1">
      <c r="A41" s="506" t="s">
        <v>0</v>
      </c>
      <c r="B41" s="437" t="s">
        <v>130</v>
      </c>
      <c r="C41" s="630">
        <f aca="true" t="shared" si="14" ref="C41:C47">SUM(D41,E41,H41:O41)</f>
        <v>123</v>
      </c>
      <c r="D41" s="638">
        <f aca="true" t="shared" si="15" ref="D41:O41">SUM(D42:D43)</f>
        <v>11</v>
      </c>
      <c r="E41" s="638">
        <f t="shared" si="15"/>
        <v>106</v>
      </c>
      <c r="F41" s="638">
        <f t="shared" si="15"/>
        <v>0</v>
      </c>
      <c r="G41" s="638">
        <f t="shared" si="15"/>
        <v>106</v>
      </c>
      <c r="H41" s="638">
        <f t="shared" si="15"/>
        <v>0</v>
      </c>
      <c r="I41" s="638">
        <f t="shared" si="15"/>
        <v>1</v>
      </c>
      <c r="J41" s="638">
        <f t="shared" si="15"/>
        <v>5</v>
      </c>
      <c r="K41" s="638">
        <f t="shared" si="15"/>
        <v>0</v>
      </c>
      <c r="L41" s="638">
        <f t="shared" si="15"/>
        <v>0</v>
      </c>
      <c r="M41" s="638">
        <f t="shared" si="15"/>
        <v>0</v>
      </c>
      <c r="N41" s="638">
        <f t="shared" si="15"/>
        <v>0</v>
      </c>
      <c r="O41" s="638">
        <f t="shared" si="15"/>
        <v>0</v>
      </c>
    </row>
    <row r="42" spans="1:15" ht="15" hidden="1">
      <c r="A42" s="505">
        <v>1</v>
      </c>
      <c r="B42" s="428" t="s">
        <v>131</v>
      </c>
      <c r="C42" s="656">
        <f t="shared" si="14"/>
        <v>111</v>
      </c>
      <c r="D42" s="655">
        <v>11</v>
      </c>
      <c r="E42" s="657">
        <f>F42+G42</f>
        <v>94</v>
      </c>
      <c r="F42" s="655">
        <v>0</v>
      </c>
      <c r="G42" s="655">
        <v>94</v>
      </c>
      <c r="H42" s="655">
        <v>0</v>
      </c>
      <c r="I42" s="655">
        <v>1</v>
      </c>
      <c r="J42" s="655">
        <v>5</v>
      </c>
      <c r="K42" s="655">
        <v>0</v>
      </c>
      <c r="L42" s="655">
        <v>0</v>
      </c>
      <c r="M42" s="655">
        <v>0</v>
      </c>
      <c r="N42" s="655">
        <v>0</v>
      </c>
      <c r="O42" s="655">
        <v>0</v>
      </c>
    </row>
    <row r="43" spans="1:15" ht="15" hidden="1">
      <c r="A43" s="505">
        <v>2</v>
      </c>
      <c r="B43" s="428" t="s">
        <v>132</v>
      </c>
      <c r="C43" s="656">
        <f t="shared" si="14"/>
        <v>12</v>
      </c>
      <c r="D43" s="655">
        <v>0</v>
      </c>
      <c r="E43" s="657">
        <f>F43+G43</f>
        <v>12</v>
      </c>
      <c r="F43" s="655">
        <v>0</v>
      </c>
      <c r="G43" s="655">
        <v>12</v>
      </c>
      <c r="H43" s="655">
        <v>0</v>
      </c>
      <c r="I43" s="655">
        <v>0</v>
      </c>
      <c r="J43" s="655">
        <v>0</v>
      </c>
      <c r="K43" s="655">
        <v>0</v>
      </c>
      <c r="L43" s="655">
        <v>0</v>
      </c>
      <c r="M43" s="655">
        <v>0</v>
      </c>
      <c r="N43" s="655">
        <v>0</v>
      </c>
      <c r="O43" s="655">
        <v>0</v>
      </c>
    </row>
    <row r="44" spans="1:15" ht="15" hidden="1">
      <c r="A44" s="506" t="s">
        <v>1</v>
      </c>
      <c r="B44" s="394" t="s">
        <v>133</v>
      </c>
      <c r="C44" s="656">
        <f t="shared" si="14"/>
        <v>0</v>
      </c>
      <c r="D44" s="655">
        <v>0</v>
      </c>
      <c r="E44" s="657">
        <f>F44+G44</f>
        <v>0</v>
      </c>
      <c r="F44" s="655"/>
      <c r="G44" s="655"/>
      <c r="H44" s="655"/>
      <c r="I44" s="655"/>
      <c r="J44" s="655"/>
      <c r="K44" s="655"/>
      <c r="L44" s="655">
        <v>0</v>
      </c>
      <c r="M44" s="655">
        <v>0</v>
      </c>
      <c r="N44" s="655">
        <v>0</v>
      </c>
      <c r="O44" s="655">
        <v>0</v>
      </c>
    </row>
    <row r="45" spans="1:15" ht="15" hidden="1">
      <c r="A45" s="506" t="s">
        <v>9</v>
      </c>
      <c r="B45" s="394" t="s">
        <v>134</v>
      </c>
      <c r="C45" s="656">
        <f t="shared" si="14"/>
        <v>0</v>
      </c>
      <c r="D45" s="655"/>
      <c r="E45" s="657"/>
      <c r="F45" s="655"/>
      <c r="G45" s="655"/>
      <c r="H45" s="655"/>
      <c r="I45" s="655"/>
      <c r="J45" s="655"/>
      <c r="K45" s="655"/>
      <c r="L45" s="655"/>
      <c r="M45" s="655"/>
      <c r="N45" s="655"/>
      <c r="O45" s="655"/>
    </row>
    <row r="46" spans="1:15" ht="18" customHeight="1" hidden="1">
      <c r="A46" s="506" t="s">
        <v>135</v>
      </c>
      <c r="B46" s="394" t="s">
        <v>136</v>
      </c>
      <c r="C46" s="658">
        <f t="shared" si="14"/>
        <v>123</v>
      </c>
      <c r="D46" s="658">
        <f>D41-SUM(D44,D45)</f>
        <v>11</v>
      </c>
      <c r="E46" s="659">
        <f aca="true" t="shared" si="16" ref="E46:E52">SUM(F46:G46)</f>
        <v>106</v>
      </c>
      <c r="F46" s="658">
        <f aca="true" t="shared" si="17" ref="F46:O46">F41-SUM(F44,F45)</f>
        <v>0</v>
      </c>
      <c r="G46" s="658">
        <f t="shared" si="17"/>
        <v>106</v>
      </c>
      <c r="H46" s="658">
        <f t="shared" si="17"/>
        <v>0</v>
      </c>
      <c r="I46" s="658">
        <f t="shared" si="17"/>
        <v>1</v>
      </c>
      <c r="J46" s="658">
        <f t="shared" si="17"/>
        <v>5</v>
      </c>
      <c r="K46" s="658">
        <f t="shared" si="17"/>
        <v>0</v>
      </c>
      <c r="L46" s="658">
        <f t="shared" si="17"/>
        <v>0</v>
      </c>
      <c r="M46" s="658">
        <f t="shared" si="17"/>
        <v>0</v>
      </c>
      <c r="N46" s="658">
        <f t="shared" si="17"/>
        <v>0</v>
      </c>
      <c r="O46" s="658">
        <f t="shared" si="17"/>
        <v>0</v>
      </c>
    </row>
    <row r="47" spans="1:15" ht="15" customHeight="1" hidden="1">
      <c r="A47" s="506" t="s">
        <v>51</v>
      </c>
      <c r="B47" s="394" t="s">
        <v>137</v>
      </c>
      <c r="C47" s="658">
        <f t="shared" si="14"/>
        <v>12</v>
      </c>
      <c r="D47" s="660">
        <f>SUM(D48:D54)</f>
        <v>0</v>
      </c>
      <c r="E47" s="659">
        <f t="shared" si="16"/>
        <v>12</v>
      </c>
      <c r="F47" s="660">
        <f aca="true" t="shared" si="18" ref="F47:N47">SUM(F48:F54)</f>
        <v>0</v>
      </c>
      <c r="G47" s="660">
        <f t="shared" si="18"/>
        <v>12</v>
      </c>
      <c r="H47" s="660">
        <f t="shared" si="18"/>
        <v>0</v>
      </c>
      <c r="I47" s="660">
        <f t="shared" si="18"/>
        <v>0</v>
      </c>
      <c r="J47" s="660">
        <f t="shared" si="18"/>
        <v>0</v>
      </c>
      <c r="K47" s="660">
        <f t="shared" si="18"/>
        <v>0</v>
      </c>
      <c r="L47" s="660">
        <f t="shared" si="18"/>
        <v>0</v>
      </c>
      <c r="M47" s="660">
        <f t="shared" si="18"/>
        <v>0</v>
      </c>
      <c r="N47" s="660">
        <f t="shared" si="18"/>
        <v>0</v>
      </c>
      <c r="O47" s="660">
        <f>SUM(O48:O54)</f>
        <v>0</v>
      </c>
    </row>
    <row r="48" spans="1:15" ht="15" hidden="1">
      <c r="A48" s="505" t="s">
        <v>53</v>
      </c>
      <c r="B48" s="428" t="s">
        <v>138</v>
      </c>
      <c r="C48" s="656">
        <f aca="true" t="shared" si="19" ref="C48:C55">D48+E48+H48+I48+J48+K48+L48+M48+N48+O48</f>
        <v>2</v>
      </c>
      <c r="D48" s="655">
        <v>0</v>
      </c>
      <c r="E48" s="661">
        <f t="shared" si="16"/>
        <v>2</v>
      </c>
      <c r="F48" s="655">
        <v>0</v>
      </c>
      <c r="G48" s="655">
        <v>2</v>
      </c>
      <c r="H48" s="655">
        <v>0</v>
      </c>
      <c r="I48" s="655">
        <v>0</v>
      </c>
      <c r="J48" s="655">
        <v>0</v>
      </c>
      <c r="K48" s="655"/>
      <c r="L48" s="655">
        <v>0</v>
      </c>
      <c r="M48" s="655">
        <v>0</v>
      </c>
      <c r="N48" s="655">
        <v>0</v>
      </c>
      <c r="O48" s="655">
        <v>0</v>
      </c>
    </row>
    <row r="49" spans="1:15" ht="15" hidden="1">
      <c r="A49" s="505" t="s">
        <v>54</v>
      </c>
      <c r="B49" s="428" t="s">
        <v>139</v>
      </c>
      <c r="C49" s="656">
        <f t="shared" si="19"/>
        <v>0</v>
      </c>
      <c r="D49" s="655">
        <v>0</v>
      </c>
      <c r="E49" s="661">
        <f t="shared" si="16"/>
        <v>0</v>
      </c>
      <c r="F49" s="655">
        <v>0</v>
      </c>
      <c r="G49" s="655">
        <v>0</v>
      </c>
      <c r="H49" s="655">
        <v>0</v>
      </c>
      <c r="I49" s="655">
        <v>0</v>
      </c>
      <c r="J49" s="655">
        <v>0</v>
      </c>
      <c r="K49" s="655"/>
      <c r="L49" s="655">
        <v>0</v>
      </c>
      <c r="M49" s="655">
        <v>0</v>
      </c>
      <c r="N49" s="655">
        <v>0</v>
      </c>
      <c r="O49" s="655">
        <v>0</v>
      </c>
    </row>
    <row r="50" spans="1:15" ht="15" hidden="1">
      <c r="A50" s="505" t="s">
        <v>140</v>
      </c>
      <c r="B50" s="428" t="s">
        <v>141</v>
      </c>
      <c r="C50" s="656">
        <f t="shared" si="19"/>
        <v>0</v>
      </c>
      <c r="D50" s="655"/>
      <c r="E50" s="661"/>
      <c r="F50" s="655">
        <v>0</v>
      </c>
      <c r="G50" s="655">
        <v>10</v>
      </c>
      <c r="H50" s="655">
        <v>0</v>
      </c>
      <c r="I50" s="655">
        <v>0</v>
      </c>
      <c r="J50" s="655">
        <v>0</v>
      </c>
      <c r="K50" s="655">
        <v>0</v>
      </c>
      <c r="L50" s="655">
        <v>0</v>
      </c>
      <c r="M50" s="655">
        <v>0</v>
      </c>
      <c r="N50" s="655">
        <v>0</v>
      </c>
      <c r="O50" s="655">
        <v>0</v>
      </c>
    </row>
    <row r="51" spans="1:15" ht="18.75" customHeight="1" hidden="1">
      <c r="A51" s="505" t="s">
        <v>142</v>
      </c>
      <c r="B51" s="428" t="s">
        <v>143</v>
      </c>
      <c r="C51" s="656">
        <f t="shared" si="19"/>
        <v>0</v>
      </c>
      <c r="D51" s="655">
        <v>0</v>
      </c>
      <c r="E51" s="661">
        <f t="shared" si="16"/>
        <v>0</v>
      </c>
      <c r="F51" s="655">
        <v>0</v>
      </c>
      <c r="G51" s="655">
        <v>0</v>
      </c>
      <c r="H51" s="655">
        <v>0</v>
      </c>
      <c r="I51" s="655">
        <v>0</v>
      </c>
      <c r="J51" s="655">
        <v>0</v>
      </c>
      <c r="K51" s="655">
        <v>0</v>
      </c>
      <c r="L51" s="655">
        <v>0</v>
      </c>
      <c r="M51" s="655">
        <v>0</v>
      </c>
      <c r="N51" s="655">
        <v>0</v>
      </c>
      <c r="O51" s="677"/>
    </row>
    <row r="52" spans="1:15" ht="15.75" hidden="1">
      <c r="A52" s="505" t="s">
        <v>144</v>
      </c>
      <c r="B52" s="428" t="s">
        <v>145</v>
      </c>
      <c r="C52" s="656">
        <f t="shared" si="19"/>
        <v>0</v>
      </c>
      <c r="D52" s="655">
        <v>0</v>
      </c>
      <c r="E52" s="661">
        <f t="shared" si="16"/>
        <v>0</v>
      </c>
      <c r="F52" s="677"/>
      <c r="G52" s="677"/>
      <c r="H52" s="677"/>
      <c r="I52" s="677"/>
      <c r="J52" s="677"/>
      <c r="K52" s="677"/>
      <c r="L52" s="677"/>
      <c r="M52" s="677"/>
      <c r="N52" s="677"/>
      <c r="O52" s="677"/>
    </row>
    <row r="53" spans="1:15" ht="25.5" hidden="1">
      <c r="A53" s="505" t="s">
        <v>146</v>
      </c>
      <c r="B53" s="430" t="s">
        <v>147</v>
      </c>
      <c r="C53" s="656">
        <f t="shared" si="19"/>
        <v>0</v>
      </c>
      <c r="D53" s="655">
        <v>0</v>
      </c>
      <c r="E53" s="661">
        <f>SUM(F53:G53)</f>
        <v>0</v>
      </c>
      <c r="F53" s="677"/>
      <c r="G53" s="677"/>
      <c r="H53" s="677"/>
      <c r="I53" s="677"/>
      <c r="J53" s="677"/>
      <c r="K53" s="677"/>
      <c r="L53" s="677"/>
      <c r="M53" s="677"/>
      <c r="N53" s="677"/>
      <c r="O53" s="677"/>
    </row>
    <row r="54" spans="1:15" ht="15.75" hidden="1">
      <c r="A54" s="505" t="s">
        <v>148</v>
      </c>
      <c r="B54" s="428" t="s">
        <v>149</v>
      </c>
      <c r="C54" s="656">
        <f t="shared" si="19"/>
        <v>0</v>
      </c>
      <c r="D54" s="655">
        <v>0</v>
      </c>
      <c r="E54" s="661">
        <f>SUM(F54:G54)</f>
        <v>0</v>
      </c>
      <c r="F54" s="677"/>
      <c r="G54" s="677"/>
      <c r="H54" s="677"/>
      <c r="I54" s="677"/>
      <c r="J54" s="677"/>
      <c r="K54" s="677"/>
      <c r="L54" s="677"/>
      <c r="M54" s="677"/>
      <c r="N54" s="677"/>
      <c r="O54" s="677"/>
    </row>
    <row r="55" spans="1:15" ht="15" hidden="1">
      <c r="A55" s="506" t="s">
        <v>52</v>
      </c>
      <c r="B55" s="394" t="s">
        <v>150</v>
      </c>
      <c r="C55" s="630">
        <f t="shared" si="19"/>
        <v>111</v>
      </c>
      <c r="D55" s="630">
        <f>D46-D47</f>
        <v>11</v>
      </c>
      <c r="E55" s="638">
        <f>SUM(F55:G55)</f>
        <v>94</v>
      </c>
      <c r="F55" s="630">
        <f>F46-F47</f>
        <v>0</v>
      </c>
      <c r="G55" s="630">
        <f>G46-G47</f>
        <v>94</v>
      </c>
      <c r="H55" s="630">
        <f>H46-H47</f>
        <v>0</v>
      </c>
      <c r="I55" s="630">
        <f aca="true" t="shared" si="20" ref="I55:N55">I46-I47</f>
        <v>1</v>
      </c>
      <c r="J55" s="630">
        <f t="shared" si="20"/>
        <v>5</v>
      </c>
      <c r="K55" s="630">
        <f t="shared" si="20"/>
        <v>0</v>
      </c>
      <c r="L55" s="630">
        <f t="shared" si="20"/>
        <v>0</v>
      </c>
      <c r="M55" s="630">
        <f t="shared" si="20"/>
        <v>0</v>
      </c>
      <c r="N55" s="630">
        <f t="shared" si="20"/>
        <v>0</v>
      </c>
      <c r="O55" s="630">
        <f>O41-O47</f>
        <v>0</v>
      </c>
    </row>
    <row r="56" spans="1:15" ht="29.25" customHeight="1" hidden="1">
      <c r="A56" s="507" t="s">
        <v>538</v>
      </c>
      <c r="B56" s="431" t="s">
        <v>151</v>
      </c>
      <c r="C56" s="514">
        <f>(C48+C49)/C47</f>
        <v>0.16666666666666666</v>
      </c>
      <c r="D56" s="514" t="e">
        <f aca="true" t="shared" si="21" ref="D56:O56">(D48+D49)/D47</f>
        <v>#DIV/0!</v>
      </c>
      <c r="E56" s="514">
        <f t="shared" si="21"/>
        <v>0.16666666666666666</v>
      </c>
      <c r="F56" s="514" t="e">
        <f t="shared" si="21"/>
        <v>#DIV/0!</v>
      </c>
      <c r="G56" s="514">
        <f t="shared" si="21"/>
        <v>0.16666666666666666</v>
      </c>
      <c r="H56" s="514" t="e">
        <f t="shared" si="21"/>
        <v>#DIV/0!</v>
      </c>
      <c r="I56" s="514" t="e">
        <f t="shared" si="21"/>
        <v>#DIV/0!</v>
      </c>
      <c r="J56" s="514" t="e">
        <f t="shared" si="21"/>
        <v>#DIV/0!</v>
      </c>
      <c r="K56" s="514" t="e">
        <f t="shared" si="21"/>
        <v>#DIV/0!</v>
      </c>
      <c r="L56" s="514" t="e">
        <f t="shared" si="21"/>
        <v>#DIV/0!</v>
      </c>
      <c r="M56" s="514" t="e">
        <f t="shared" si="21"/>
        <v>#DIV/0!</v>
      </c>
      <c r="N56" s="514" t="e">
        <f t="shared" si="21"/>
        <v>#DIV/0!</v>
      </c>
      <c r="O56" s="514" t="e">
        <f t="shared" si="21"/>
        <v>#DIV/0!</v>
      </c>
    </row>
    <row r="57" ht="15" hidden="1"/>
    <row r="58" ht="15" hidden="1">
      <c r="B58" s="718" t="s">
        <v>503</v>
      </c>
    </row>
    <row r="59" ht="15" hidden="1"/>
    <row r="60" spans="1:15" ht="15" hidden="1">
      <c r="A60" s="1279" t="s">
        <v>68</v>
      </c>
      <c r="B60" s="1279"/>
      <c r="C60" s="1279" t="s">
        <v>37</v>
      </c>
      <c r="D60" s="1279" t="s">
        <v>335</v>
      </c>
      <c r="E60" s="1279"/>
      <c r="F60" s="1279"/>
      <c r="G60" s="1279"/>
      <c r="H60" s="1279"/>
      <c r="I60" s="1279"/>
      <c r="J60" s="1279"/>
      <c r="K60" s="1279"/>
      <c r="L60" s="1279"/>
      <c r="M60" s="1279"/>
      <c r="N60" s="1279"/>
      <c r="O60" s="1279"/>
    </row>
    <row r="61" spans="1:15" ht="15" hidden="1">
      <c r="A61" s="1279"/>
      <c r="B61" s="1279"/>
      <c r="C61" s="1279"/>
      <c r="D61" s="1304" t="s">
        <v>119</v>
      </c>
      <c r="E61" s="1302" t="s">
        <v>120</v>
      </c>
      <c r="F61" s="1302"/>
      <c r="G61" s="1302"/>
      <c r="H61" s="1302" t="s">
        <v>121</v>
      </c>
      <c r="I61" s="1302" t="s">
        <v>122</v>
      </c>
      <c r="J61" s="1302" t="s">
        <v>123</v>
      </c>
      <c r="K61" s="1302" t="s">
        <v>124</v>
      </c>
      <c r="L61" s="1302" t="s">
        <v>125</v>
      </c>
      <c r="M61" s="1302" t="s">
        <v>126</v>
      </c>
      <c r="N61" s="1302" t="s">
        <v>183</v>
      </c>
      <c r="O61" s="1302" t="s">
        <v>127</v>
      </c>
    </row>
    <row r="62" spans="1:15" ht="15" hidden="1">
      <c r="A62" s="1279"/>
      <c r="B62" s="1279"/>
      <c r="C62" s="1279"/>
      <c r="D62" s="1304"/>
      <c r="E62" s="1302" t="s">
        <v>36</v>
      </c>
      <c r="F62" s="1302" t="s">
        <v>7</v>
      </c>
      <c r="G62" s="1302"/>
      <c r="H62" s="1302"/>
      <c r="I62" s="1302"/>
      <c r="J62" s="1302"/>
      <c r="K62" s="1302"/>
      <c r="L62" s="1302"/>
      <c r="M62" s="1302"/>
      <c r="N62" s="1302"/>
      <c r="O62" s="1302"/>
    </row>
    <row r="63" spans="1:15" ht="0.75" customHeight="1" hidden="1">
      <c r="A63" s="1279"/>
      <c r="B63" s="1279"/>
      <c r="C63" s="1279"/>
      <c r="D63" s="1304"/>
      <c r="E63" s="1302"/>
      <c r="F63" s="558" t="s">
        <v>128</v>
      </c>
      <c r="G63" s="558" t="s">
        <v>129</v>
      </c>
      <c r="H63" s="1302"/>
      <c r="I63" s="1302"/>
      <c r="J63" s="1302"/>
      <c r="K63" s="1302"/>
      <c r="L63" s="1302"/>
      <c r="M63" s="1302"/>
      <c r="N63" s="1302"/>
      <c r="O63" s="1302"/>
    </row>
    <row r="64" spans="1:15" ht="15" hidden="1">
      <c r="A64" s="1303" t="s">
        <v>39</v>
      </c>
      <c r="B64" s="1303"/>
      <c r="C64" s="515">
        <v>1</v>
      </c>
      <c r="D64" s="515">
        <v>2</v>
      </c>
      <c r="E64" s="515">
        <v>3</v>
      </c>
      <c r="F64" s="515">
        <v>4</v>
      </c>
      <c r="G64" s="515">
        <v>5</v>
      </c>
      <c r="H64" s="515">
        <v>6</v>
      </c>
      <c r="I64" s="515">
        <v>7</v>
      </c>
      <c r="J64" s="515">
        <v>8</v>
      </c>
      <c r="K64" s="515">
        <v>9</v>
      </c>
      <c r="L64" s="515">
        <v>10</v>
      </c>
      <c r="M64" s="515">
        <v>11</v>
      </c>
      <c r="N64" s="515">
        <v>12</v>
      </c>
      <c r="O64" s="515">
        <v>13</v>
      </c>
    </row>
    <row r="65" spans="1:15" ht="15" hidden="1">
      <c r="A65" s="506" t="s">
        <v>0</v>
      </c>
      <c r="B65" s="437" t="s">
        <v>130</v>
      </c>
      <c r="C65" s="630">
        <f aca="true" t="shared" si="22" ref="C65:C71">SUM(D65,E65,H65:O65)</f>
        <v>216</v>
      </c>
      <c r="D65" s="638">
        <f aca="true" t="shared" si="23" ref="D65:O65">SUM(D66:D67)</f>
        <v>162</v>
      </c>
      <c r="E65" s="638">
        <f t="shared" si="23"/>
        <v>15</v>
      </c>
      <c r="F65" s="638">
        <f t="shared" si="23"/>
        <v>0</v>
      </c>
      <c r="G65" s="638">
        <f t="shared" si="23"/>
        <v>15</v>
      </c>
      <c r="H65" s="638">
        <f t="shared" si="23"/>
        <v>0</v>
      </c>
      <c r="I65" s="638">
        <f t="shared" si="23"/>
        <v>32</v>
      </c>
      <c r="J65" s="638">
        <f t="shared" si="23"/>
        <v>5</v>
      </c>
      <c r="K65" s="638">
        <f t="shared" si="23"/>
        <v>2</v>
      </c>
      <c r="L65" s="638">
        <f t="shared" si="23"/>
        <v>0</v>
      </c>
      <c r="M65" s="638">
        <f t="shared" si="23"/>
        <v>0</v>
      </c>
      <c r="N65" s="638">
        <f t="shared" si="23"/>
        <v>0</v>
      </c>
      <c r="O65" s="638">
        <f t="shared" si="23"/>
        <v>0</v>
      </c>
    </row>
    <row r="66" spans="1:15" ht="15" hidden="1">
      <c r="A66" s="505">
        <v>1</v>
      </c>
      <c r="B66" s="428" t="s">
        <v>131</v>
      </c>
      <c r="C66" s="656">
        <f t="shared" si="22"/>
        <v>170</v>
      </c>
      <c r="D66" s="654">
        <v>142</v>
      </c>
      <c r="E66" s="657">
        <f>F66+G66</f>
        <v>6</v>
      </c>
      <c r="F66" s="654">
        <v>0</v>
      </c>
      <c r="G66" s="654">
        <v>6</v>
      </c>
      <c r="H66" s="654">
        <v>0</v>
      </c>
      <c r="I66" s="654">
        <v>17</v>
      </c>
      <c r="J66" s="654">
        <v>3</v>
      </c>
      <c r="K66" s="654">
        <v>2</v>
      </c>
      <c r="L66" s="405">
        <v>0</v>
      </c>
      <c r="M66" s="405">
        <v>0</v>
      </c>
      <c r="N66" s="405">
        <v>0</v>
      </c>
      <c r="O66" s="405">
        <v>0</v>
      </c>
    </row>
    <row r="67" spans="1:15" ht="15" hidden="1">
      <c r="A67" s="505">
        <v>2</v>
      </c>
      <c r="B67" s="428" t="s">
        <v>132</v>
      </c>
      <c r="C67" s="656">
        <f t="shared" si="22"/>
        <v>46</v>
      </c>
      <c r="D67" s="654">
        <v>20</v>
      </c>
      <c r="E67" s="657">
        <f>F67+G67</f>
        <v>9</v>
      </c>
      <c r="F67" s="654">
        <v>0</v>
      </c>
      <c r="G67" s="654">
        <v>9</v>
      </c>
      <c r="H67" s="654">
        <v>0</v>
      </c>
      <c r="I67" s="654">
        <v>15</v>
      </c>
      <c r="J67" s="654">
        <v>2</v>
      </c>
      <c r="K67" s="654">
        <v>0</v>
      </c>
      <c r="L67" s="405">
        <v>0</v>
      </c>
      <c r="M67" s="405">
        <v>0</v>
      </c>
      <c r="N67" s="405">
        <v>0</v>
      </c>
      <c r="O67" s="405">
        <v>0</v>
      </c>
    </row>
    <row r="68" spans="1:15" ht="15" hidden="1">
      <c r="A68" s="506" t="s">
        <v>1</v>
      </c>
      <c r="B68" s="394" t="s">
        <v>133</v>
      </c>
      <c r="C68" s="656">
        <f t="shared" si="22"/>
        <v>3</v>
      </c>
      <c r="D68" s="654"/>
      <c r="E68" s="657">
        <f>F68+G68</f>
        <v>2</v>
      </c>
      <c r="F68" s="654">
        <v>0</v>
      </c>
      <c r="G68" s="654">
        <v>2</v>
      </c>
      <c r="H68" s="654">
        <v>0</v>
      </c>
      <c r="I68" s="654">
        <v>1</v>
      </c>
      <c r="J68" s="654">
        <v>0</v>
      </c>
      <c r="K68" s="654">
        <v>0</v>
      </c>
      <c r="L68" s="405">
        <v>0</v>
      </c>
      <c r="M68" s="405">
        <v>0</v>
      </c>
      <c r="N68" s="405">
        <v>0</v>
      </c>
      <c r="O68" s="405">
        <v>0</v>
      </c>
    </row>
    <row r="69" spans="1:15" ht="15" hidden="1">
      <c r="A69" s="506" t="s">
        <v>9</v>
      </c>
      <c r="B69" s="394" t="s">
        <v>134</v>
      </c>
      <c r="C69" s="656">
        <f t="shared" si="22"/>
        <v>0</v>
      </c>
      <c r="D69" s="654">
        <f>SUM('[10]C. Thuy TD'!D63+'[10]H. Thủy'!D63+'[10]Q. Cường'!D63+'[10]Úy '!D63+'[10]Đ. Tiến'!D63+'[10]A. Huy '!D63+'[10]D. Hồng TD'!D63+'[10]Q. Huy TD'!D63)</f>
        <v>0</v>
      </c>
      <c r="E69" s="657"/>
      <c r="F69" s="655"/>
      <c r="G69" s="655"/>
      <c r="H69" s="655"/>
      <c r="I69" s="655"/>
      <c r="J69" s="655"/>
      <c r="K69" s="655"/>
      <c r="L69" s="655"/>
      <c r="M69" s="655"/>
      <c r="N69" s="655"/>
      <c r="O69" s="655"/>
    </row>
    <row r="70" spans="1:15" ht="15" hidden="1">
      <c r="A70" s="506" t="s">
        <v>135</v>
      </c>
      <c r="B70" s="394" t="s">
        <v>136</v>
      </c>
      <c r="C70" s="658">
        <f t="shared" si="22"/>
        <v>213</v>
      </c>
      <c r="D70" s="658">
        <f>D65-SUM(D68,D69)</f>
        <v>162</v>
      </c>
      <c r="E70" s="659">
        <f aca="true" t="shared" si="24" ref="E70:E76">SUM(F70:G70)</f>
        <v>13</v>
      </c>
      <c r="F70" s="658">
        <f aca="true" t="shared" si="25" ref="F70:O70">F65-SUM(F68,F69)</f>
        <v>0</v>
      </c>
      <c r="G70" s="658">
        <f t="shared" si="25"/>
        <v>13</v>
      </c>
      <c r="H70" s="658">
        <f t="shared" si="25"/>
        <v>0</v>
      </c>
      <c r="I70" s="658">
        <f t="shared" si="25"/>
        <v>31</v>
      </c>
      <c r="J70" s="658">
        <f t="shared" si="25"/>
        <v>5</v>
      </c>
      <c r="K70" s="658">
        <f t="shared" si="25"/>
        <v>2</v>
      </c>
      <c r="L70" s="658">
        <f t="shared" si="25"/>
        <v>0</v>
      </c>
      <c r="M70" s="658">
        <f t="shared" si="25"/>
        <v>0</v>
      </c>
      <c r="N70" s="658">
        <f t="shared" si="25"/>
        <v>0</v>
      </c>
      <c r="O70" s="658">
        <f t="shared" si="25"/>
        <v>0</v>
      </c>
    </row>
    <row r="71" spans="1:15" ht="15" hidden="1">
      <c r="A71" s="506" t="s">
        <v>51</v>
      </c>
      <c r="B71" s="394" t="s">
        <v>137</v>
      </c>
      <c r="C71" s="658">
        <f t="shared" si="22"/>
        <v>102</v>
      </c>
      <c r="D71" s="660">
        <f>SUM(D72:D78)</f>
        <v>74</v>
      </c>
      <c r="E71" s="659">
        <f t="shared" si="24"/>
        <v>6</v>
      </c>
      <c r="F71" s="660">
        <f aca="true" t="shared" si="26" ref="F71:N71">SUM(F72:F78)</f>
        <v>0</v>
      </c>
      <c r="G71" s="660">
        <f t="shared" si="26"/>
        <v>6</v>
      </c>
      <c r="H71" s="660">
        <f t="shared" si="26"/>
        <v>0</v>
      </c>
      <c r="I71" s="660">
        <f t="shared" si="26"/>
        <v>18</v>
      </c>
      <c r="J71" s="660">
        <f t="shared" si="26"/>
        <v>3</v>
      </c>
      <c r="K71" s="660">
        <f t="shared" si="26"/>
        <v>1</v>
      </c>
      <c r="L71" s="660">
        <f t="shared" si="26"/>
        <v>0</v>
      </c>
      <c r="M71" s="660">
        <f t="shared" si="26"/>
        <v>0</v>
      </c>
      <c r="N71" s="660">
        <f t="shared" si="26"/>
        <v>0</v>
      </c>
      <c r="O71" s="660">
        <f>SUM(O72:O78)</f>
        <v>0</v>
      </c>
    </row>
    <row r="72" spans="1:15" ht="15" hidden="1">
      <c r="A72" s="505" t="s">
        <v>53</v>
      </c>
      <c r="B72" s="428" t="s">
        <v>138</v>
      </c>
      <c r="C72" s="656">
        <f aca="true" t="shared" si="27" ref="C72:C79">D72+E72+H72+I72+J72+K72+L72+M72+N72+O72</f>
        <v>11</v>
      </c>
      <c r="D72" s="654">
        <v>4</v>
      </c>
      <c r="E72" s="661">
        <f t="shared" si="24"/>
        <v>3</v>
      </c>
      <c r="F72" s="654">
        <v>0</v>
      </c>
      <c r="G72" s="654">
        <v>3</v>
      </c>
      <c r="H72" s="654">
        <v>0</v>
      </c>
      <c r="I72" s="654">
        <v>4</v>
      </c>
      <c r="J72" s="654">
        <v>0</v>
      </c>
      <c r="K72" s="654">
        <v>0</v>
      </c>
      <c r="L72" s="654">
        <v>0</v>
      </c>
      <c r="M72" s="654">
        <v>0</v>
      </c>
      <c r="N72" s="654">
        <v>0</v>
      </c>
      <c r="O72" s="654">
        <v>0</v>
      </c>
    </row>
    <row r="73" spans="1:15" ht="15" hidden="1">
      <c r="A73" s="505" t="s">
        <v>54</v>
      </c>
      <c r="B73" s="428" t="s">
        <v>139</v>
      </c>
      <c r="C73" s="656">
        <f t="shared" si="27"/>
        <v>2</v>
      </c>
      <c r="D73" s="654">
        <v>1</v>
      </c>
      <c r="E73" s="661">
        <f t="shared" si="24"/>
        <v>0</v>
      </c>
      <c r="F73" s="654">
        <v>0</v>
      </c>
      <c r="G73" s="654">
        <v>0</v>
      </c>
      <c r="H73" s="654">
        <v>0</v>
      </c>
      <c r="I73" s="654">
        <v>0</v>
      </c>
      <c r="J73" s="654">
        <v>1</v>
      </c>
      <c r="K73" s="654">
        <v>0</v>
      </c>
      <c r="L73" s="654">
        <v>0</v>
      </c>
      <c r="M73" s="654">
        <v>0</v>
      </c>
      <c r="N73" s="654">
        <v>0</v>
      </c>
      <c r="O73" s="654">
        <v>0</v>
      </c>
    </row>
    <row r="74" spans="1:15" ht="15" hidden="1">
      <c r="A74" s="505" t="s">
        <v>140</v>
      </c>
      <c r="B74" s="428" t="s">
        <v>141</v>
      </c>
      <c r="C74" s="656">
        <f t="shared" si="27"/>
        <v>71</v>
      </c>
      <c r="D74" s="654">
        <v>51</v>
      </c>
      <c r="E74" s="661">
        <f t="shared" si="24"/>
        <v>3</v>
      </c>
      <c r="F74" s="654">
        <v>0</v>
      </c>
      <c r="G74" s="654">
        <v>3</v>
      </c>
      <c r="H74" s="654">
        <v>0</v>
      </c>
      <c r="I74" s="654">
        <v>14</v>
      </c>
      <c r="J74" s="654">
        <v>2</v>
      </c>
      <c r="K74" s="654">
        <v>1</v>
      </c>
      <c r="L74" s="654">
        <v>0</v>
      </c>
      <c r="M74" s="654">
        <v>0</v>
      </c>
      <c r="N74" s="654">
        <v>0</v>
      </c>
      <c r="O74" s="654">
        <v>0</v>
      </c>
    </row>
    <row r="75" spans="1:15" ht="15" hidden="1">
      <c r="A75" s="505" t="s">
        <v>142</v>
      </c>
      <c r="B75" s="428" t="s">
        <v>143</v>
      </c>
      <c r="C75" s="656">
        <f t="shared" si="27"/>
        <v>18</v>
      </c>
      <c r="D75" s="654">
        <v>18</v>
      </c>
      <c r="E75" s="661">
        <f t="shared" si="24"/>
        <v>0</v>
      </c>
      <c r="F75" s="654">
        <v>0</v>
      </c>
      <c r="G75" s="654">
        <v>0</v>
      </c>
      <c r="H75" s="654">
        <v>0</v>
      </c>
      <c r="I75" s="654">
        <v>0</v>
      </c>
      <c r="J75" s="654">
        <v>0</v>
      </c>
      <c r="K75" s="654">
        <v>0</v>
      </c>
      <c r="L75" s="654">
        <v>0</v>
      </c>
      <c r="M75" s="654">
        <v>0</v>
      </c>
      <c r="N75" s="654">
        <v>0</v>
      </c>
      <c r="O75" s="654">
        <v>0</v>
      </c>
    </row>
    <row r="76" spans="1:15" ht="15" hidden="1">
      <c r="A76" s="505" t="s">
        <v>144</v>
      </c>
      <c r="B76" s="428" t="s">
        <v>145</v>
      </c>
      <c r="C76" s="656">
        <f t="shared" si="27"/>
        <v>0</v>
      </c>
      <c r="D76" s="405"/>
      <c r="E76" s="661">
        <f t="shared" si="24"/>
        <v>0</v>
      </c>
      <c r="F76" s="405">
        <v>0</v>
      </c>
      <c r="G76" s="405"/>
      <c r="H76" s="405"/>
      <c r="I76" s="405"/>
      <c r="J76" s="405"/>
      <c r="K76" s="405"/>
      <c r="L76" s="405"/>
      <c r="M76" s="654">
        <v>0</v>
      </c>
      <c r="N76" s="654">
        <v>0</v>
      </c>
      <c r="O76" s="654">
        <v>0</v>
      </c>
    </row>
    <row r="77" spans="1:15" ht="25.5" hidden="1">
      <c r="A77" s="505" t="s">
        <v>146</v>
      </c>
      <c r="B77" s="430" t="s">
        <v>147</v>
      </c>
      <c r="C77" s="656">
        <f t="shared" si="27"/>
        <v>0</v>
      </c>
      <c r="D77" s="405"/>
      <c r="E77" s="661">
        <f>SUM(F77:G77)</f>
        <v>0</v>
      </c>
      <c r="F77" s="405">
        <v>0</v>
      </c>
      <c r="G77" s="405">
        <v>0</v>
      </c>
      <c r="H77" s="405">
        <v>0</v>
      </c>
      <c r="I77" s="405">
        <v>0</v>
      </c>
      <c r="J77" s="405">
        <v>0</v>
      </c>
      <c r="K77" s="405">
        <v>0</v>
      </c>
      <c r="L77" s="405">
        <v>0</v>
      </c>
      <c r="M77" s="654">
        <v>0</v>
      </c>
      <c r="N77" s="654">
        <v>0</v>
      </c>
      <c r="O77" s="654">
        <v>0</v>
      </c>
    </row>
    <row r="78" spans="1:15" ht="15.75" customHeight="1" hidden="1">
      <c r="A78" s="505" t="s">
        <v>148</v>
      </c>
      <c r="B78" s="428" t="s">
        <v>149</v>
      </c>
      <c r="C78" s="656">
        <f t="shared" si="27"/>
        <v>0</v>
      </c>
      <c r="D78" s="405"/>
      <c r="E78" s="661">
        <f>SUM(F78:G78)</f>
        <v>0</v>
      </c>
      <c r="F78" s="405">
        <v>0</v>
      </c>
      <c r="G78" s="405">
        <v>0</v>
      </c>
      <c r="H78" s="405">
        <v>0</v>
      </c>
      <c r="I78" s="405">
        <v>0</v>
      </c>
      <c r="J78" s="405">
        <v>0</v>
      </c>
      <c r="K78" s="405">
        <v>0</v>
      </c>
      <c r="L78" s="405">
        <v>0</v>
      </c>
      <c r="M78" s="654">
        <v>0</v>
      </c>
      <c r="N78" s="654">
        <v>0</v>
      </c>
      <c r="O78" s="654">
        <v>0</v>
      </c>
    </row>
    <row r="79" spans="1:15" ht="15" hidden="1">
      <c r="A79" s="506" t="s">
        <v>52</v>
      </c>
      <c r="B79" s="394" t="s">
        <v>150</v>
      </c>
      <c r="C79" s="630">
        <f t="shared" si="27"/>
        <v>111</v>
      </c>
      <c r="D79" s="630">
        <f>D70-D71</f>
        <v>88</v>
      </c>
      <c r="E79" s="638">
        <f>SUM(F79:G79)</f>
        <v>7</v>
      </c>
      <c r="F79" s="630">
        <f>F70-F71</f>
        <v>0</v>
      </c>
      <c r="G79" s="630">
        <f>G70-G71</f>
        <v>7</v>
      </c>
      <c r="H79" s="630">
        <f>H70-H71</f>
        <v>0</v>
      </c>
      <c r="I79" s="630">
        <f aca="true" t="shared" si="28" ref="I79:N79">I70-I71</f>
        <v>13</v>
      </c>
      <c r="J79" s="630">
        <f t="shared" si="28"/>
        <v>2</v>
      </c>
      <c r="K79" s="630">
        <f t="shared" si="28"/>
        <v>1</v>
      </c>
      <c r="L79" s="630">
        <f t="shared" si="28"/>
        <v>0</v>
      </c>
      <c r="M79" s="630">
        <f t="shared" si="28"/>
        <v>0</v>
      </c>
      <c r="N79" s="630">
        <f t="shared" si="28"/>
        <v>0</v>
      </c>
      <c r="O79" s="630">
        <f>O65-O71</f>
        <v>0</v>
      </c>
    </row>
    <row r="80" spans="1:15" ht="25.5" hidden="1">
      <c r="A80" s="507" t="s">
        <v>538</v>
      </c>
      <c r="B80" s="431" t="s">
        <v>151</v>
      </c>
      <c r="C80" s="514">
        <f>(C72+C73)/C71</f>
        <v>0.12745098039215685</v>
      </c>
      <c r="D80" s="514">
        <f aca="true" t="shared" si="29" ref="D80:O80">(D72+D73)/D71</f>
        <v>0.06756756756756757</v>
      </c>
      <c r="E80" s="514">
        <f t="shared" si="29"/>
        <v>0.5</v>
      </c>
      <c r="F80" s="514" t="e">
        <f t="shared" si="29"/>
        <v>#DIV/0!</v>
      </c>
      <c r="G80" s="514">
        <f t="shared" si="29"/>
        <v>0.5</v>
      </c>
      <c r="H80" s="514" t="e">
        <f t="shared" si="29"/>
        <v>#DIV/0!</v>
      </c>
      <c r="I80" s="514">
        <f t="shared" si="29"/>
        <v>0.2222222222222222</v>
      </c>
      <c r="J80" s="514">
        <f t="shared" si="29"/>
        <v>0.3333333333333333</v>
      </c>
      <c r="K80" s="514">
        <f t="shared" si="29"/>
        <v>0</v>
      </c>
      <c r="L80" s="514" t="e">
        <f t="shared" si="29"/>
        <v>#DIV/0!</v>
      </c>
      <c r="M80" s="514" t="e">
        <f t="shared" si="29"/>
        <v>#DIV/0!</v>
      </c>
      <c r="N80" s="514" t="e">
        <f t="shared" si="29"/>
        <v>#DIV/0!</v>
      </c>
      <c r="O80" s="514" t="e">
        <f t="shared" si="29"/>
        <v>#DIV/0!</v>
      </c>
    </row>
    <row r="81" ht="1.5" customHeight="1" hidden="1"/>
    <row r="82" ht="15" hidden="1">
      <c r="B82" s="718" t="s">
        <v>696</v>
      </c>
    </row>
    <row r="83" spans="1:15" ht="15" hidden="1">
      <c r="A83" s="1279" t="s">
        <v>68</v>
      </c>
      <c r="B83" s="1279"/>
      <c r="C83" s="1279" t="s">
        <v>37</v>
      </c>
      <c r="D83" s="1279" t="s">
        <v>335</v>
      </c>
      <c r="E83" s="1279"/>
      <c r="F83" s="1279"/>
      <c r="G83" s="1279"/>
      <c r="H83" s="1279"/>
      <c r="I83" s="1279"/>
      <c r="J83" s="1279"/>
      <c r="K83" s="1279"/>
      <c r="L83" s="1279"/>
      <c r="M83" s="1279"/>
      <c r="N83" s="1279"/>
      <c r="O83" s="1279"/>
    </row>
    <row r="84" spans="1:15" ht="15" hidden="1">
      <c r="A84" s="1279"/>
      <c r="B84" s="1279"/>
      <c r="C84" s="1279"/>
      <c r="D84" s="1304" t="s">
        <v>119</v>
      </c>
      <c r="E84" s="1302" t="s">
        <v>120</v>
      </c>
      <c r="F84" s="1302"/>
      <c r="G84" s="1302"/>
      <c r="H84" s="1302" t="s">
        <v>121</v>
      </c>
      <c r="I84" s="1302" t="s">
        <v>122</v>
      </c>
      <c r="J84" s="1302" t="s">
        <v>123</v>
      </c>
      <c r="K84" s="1302" t="s">
        <v>124</v>
      </c>
      <c r="L84" s="1302" t="s">
        <v>125</v>
      </c>
      <c r="M84" s="1302" t="s">
        <v>126</v>
      </c>
      <c r="N84" s="1302" t="s">
        <v>183</v>
      </c>
      <c r="O84" s="1302" t="s">
        <v>127</v>
      </c>
    </row>
    <row r="85" spans="1:15" ht="15" hidden="1">
      <c r="A85" s="1279"/>
      <c r="B85" s="1279"/>
      <c r="C85" s="1279"/>
      <c r="D85" s="1304"/>
      <c r="E85" s="1302" t="s">
        <v>36</v>
      </c>
      <c r="F85" s="1302" t="s">
        <v>7</v>
      </c>
      <c r="G85" s="1302"/>
      <c r="H85" s="1302"/>
      <c r="I85" s="1302"/>
      <c r="J85" s="1302"/>
      <c r="K85" s="1302"/>
      <c r="L85" s="1302"/>
      <c r="M85" s="1302"/>
      <c r="N85" s="1302"/>
      <c r="O85" s="1302"/>
    </row>
    <row r="86" spans="1:15" ht="30" hidden="1">
      <c r="A86" s="1279"/>
      <c r="B86" s="1279"/>
      <c r="C86" s="1279"/>
      <c r="D86" s="1304"/>
      <c r="E86" s="1302"/>
      <c r="F86" s="558" t="s">
        <v>128</v>
      </c>
      <c r="G86" s="558" t="s">
        <v>129</v>
      </c>
      <c r="H86" s="1302"/>
      <c r="I86" s="1302"/>
      <c r="J86" s="1302"/>
      <c r="K86" s="1302"/>
      <c r="L86" s="1302"/>
      <c r="M86" s="1302"/>
      <c r="N86" s="1302"/>
      <c r="O86" s="1302"/>
    </row>
    <row r="87" spans="1:15" ht="15" hidden="1">
      <c r="A87" s="1303" t="s">
        <v>39</v>
      </c>
      <c r="B87" s="1303"/>
      <c r="C87" s="515">
        <v>1</v>
      </c>
      <c r="D87" s="515">
        <v>2</v>
      </c>
      <c r="E87" s="515">
        <v>3</v>
      </c>
      <c r="F87" s="515">
        <v>4</v>
      </c>
      <c r="G87" s="515">
        <v>5</v>
      </c>
      <c r="H87" s="515">
        <v>6</v>
      </c>
      <c r="I87" s="515">
        <v>7</v>
      </c>
      <c r="J87" s="515">
        <v>8</v>
      </c>
      <c r="K87" s="515">
        <v>9</v>
      </c>
      <c r="L87" s="515">
        <v>10</v>
      </c>
      <c r="M87" s="515">
        <v>11</v>
      </c>
      <c r="N87" s="515">
        <v>12</v>
      </c>
      <c r="O87" s="515">
        <v>13</v>
      </c>
    </row>
    <row r="88" spans="1:15" ht="15" hidden="1">
      <c r="A88" s="506" t="s">
        <v>0</v>
      </c>
      <c r="B88" s="437" t="s">
        <v>130</v>
      </c>
      <c r="C88" s="630">
        <f aca="true" t="shared" si="30" ref="C88:C94">SUM(D88,E88,H88:O88)</f>
        <v>82</v>
      </c>
      <c r="D88" s="638">
        <f aca="true" t="shared" si="31" ref="D88:O88">SUM(D89:D90)</f>
        <v>56</v>
      </c>
      <c r="E88" s="638">
        <f t="shared" si="31"/>
        <v>9</v>
      </c>
      <c r="F88" s="638">
        <f t="shared" si="31"/>
        <v>0</v>
      </c>
      <c r="G88" s="638">
        <f t="shared" si="31"/>
        <v>9</v>
      </c>
      <c r="H88" s="638">
        <f t="shared" si="31"/>
        <v>0</v>
      </c>
      <c r="I88" s="638">
        <f t="shared" si="31"/>
        <v>17</v>
      </c>
      <c r="J88" s="638">
        <f t="shared" si="31"/>
        <v>0</v>
      </c>
      <c r="K88" s="638">
        <f t="shared" si="31"/>
        <v>0</v>
      </c>
      <c r="L88" s="638">
        <f t="shared" si="31"/>
        <v>0</v>
      </c>
      <c r="M88" s="638">
        <f t="shared" si="31"/>
        <v>0</v>
      </c>
      <c r="N88" s="638">
        <f t="shared" si="31"/>
        <v>0</v>
      </c>
      <c r="O88" s="638">
        <f t="shared" si="31"/>
        <v>0</v>
      </c>
    </row>
    <row r="89" spans="1:15" ht="15.75" hidden="1">
      <c r="A89" s="505">
        <v>1</v>
      </c>
      <c r="B89" s="428" t="s">
        <v>131</v>
      </c>
      <c r="C89" s="656">
        <f t="shared" si="30"/>
        <v>61</v>
      </c>
      <c r="D89" s="766">
        <v>49</v>
      </c>
      <c r="E89" s="657">
        <f>F89+G89</f>
        <v>6</v>
      </c>
      <c r="F89" s="766">
        <v>0</v>
      </c>
      <c r="G89" s="766">
        <v>6</v>
      </c>
      <c r="H89" s="766">
        <v>0</v>
      </c>
      <c r="I89" s="766">
        <v>6</v>
      </c>
      <c r="J89" s="766">
        <v>0</v>
      </c>
      <c r="K89" s="766">
        <v>0</v>
      </c>
      <c r="L89" s="766">
        <v>0</v>
      </c>
      <c r="M89" s="766">
        <v>0</v>
      </c>
      <c r="N89" s="766">
        <v>0</v>
      </c>
      <c r="O89" s="766">
        <v>0</v>
      </c>
    </row>
    <row r="90" spans="1:15" ht="15.75" hidden="1">
      <c r="A90" s="505">
        <v>2</v>
      </c>
      <c r="B90" s="428" t="s">
        <v>132</v>
      </c>
      <c r="C90" s="656">
        <f t="shared" si="30"/>
        <v>21</v>
      </c>
      <c r="D90" s="766">
        <v>7</v>
      </c>
      <c r="E90" s="657">
        <f>F90+G90</f>
        <v>3</v>
      </c>
      <c r="F90" s="766">
        <v>0</v>
      </c>
      <c r="G90" s="766">
        <v>3</v>
      </c>
      <c r="H90" s="766">
        <v>0</v>
      </c>
      <c r="I90" s="766">
        <v>11</v>
      </c>
      <c r="J90" s="766">
        <v>0</v>
      </c>
      <c r="K90" s="766">
        <v>0</v>
      </c>
      <c r="L90" s="766">
        <v>0</v>
      </c>
      <c r="M90" s="766">
        <v>0</v>
      </c>
      <c r="N90" s="766">
        <v>0</v>
      </c>
      <c r="O90" s="766">
        <v>0</v>
      </c>
    </row>
    <row r="91" spans="1:15" ht="15.75" hidden="1">
      <c r="A91" s="506" t="s">
        <v>1</v>
      </c>
      <c r="B91" s="394" t="s">
        <v>133</v>
      </c>
      <c r="C91" s="656">
        <f t="shared" si="30"/>
        <v>1</v>
      </c>
      <c r="D91" s="766">
        <v>0</v>
      </c>
      <c r="E91" s="657">
        <f>F91+G91</f>
        <v>0</v>
      </c>
      <c r="F91" s="766">
        <v>0</v>
      </c>
      <c r="G91" s="766">
        <v>0</v>
      </c>
      <c r="H91" s="766">
        <v>0</v>
      </c>
      <c r="I91" s="766">
        <v>1</v>
      </c>
      <c r="J91" s="766">
        <v>0</v>
      </c>
      <c r="K91" s="766">
        <v>0</v>
      </c>
      <c r="L91" s="766">
        <v>0</v>
      </c>
      <c r="M91" s="766">
        <v>0</v>
      </c>
      <c r="N91" s="766">
        <v>0</v>
      </c>
      <c r="O91" s="766">
        <v>0</v>
      </c>
    </row>
    <row r="92" spans="1:15" ht="15" hidden="1">
      <c r="A92" s="506" t="s">
        <v>9</v>
      </c>
      <c r="B92" s="394" t="s">
        <v>134</v>
      </c>
      <c r="C92" s="656">
        <f t="shared" si="30"/>
        <v>0</v>
      </c>
      <c r="D92" s="655"/>
      <c r="E92" s="657"/>
      <c r="F92" s="655"/>
      <c r="G92" s="655"/>
      <c r="H92" s="655"/>
      <c r="I92" s="655"/>
      <c r="J92" s="655"/>
      <c r="K92" s="655"/>
      <c r="L92" s="655"/>
      <c r="M92" s="655"/>
      <c r="N92" s="655"/>
      <c r="O92" s="655"/>
    </row>
    <row r="93" spans="1:15" ht="15" hidden="1">
      <c r="A93" s="506" t="s">
        <v>135</v>
      </c>
      <c r="B93" s="394" t="s">
        <v>136</v>
      </c>
      <c r="C93" s="658">
        <f t="shared" si="30"/>
        <v>81</v>
      </c>
      <c r="D93" s="658">
        <f>D88-SUM(D91,D92)</f>
        <v>56</v>
      </c>
      <c r="E93" s="659">
        <f aca="true" t="shared" si="32" ref="E93:E99">SUM(F93:G93)</f>
        <v>9</v>
      </c>
      <c r="F93" s="658">
        <f aca="true" t="shared" si="33" ref="F93:O93">F88-SUM(F91,F92)</f>
        <v>0</v>
      </c>
      <c r="G93" s="658">
        <f t="shared" si="33"/>
        <v>9</v>
      </c>
      <c r="H93" s="658">
        <f t="shared" si="33"/>
        <v>0</v>
      </c>
      <c r="I93" s="658">
        <f t="shared" si="33"/>
        <v>16</v>
      </c>
      <c r="J93" s="658">
        <f t="shared" si="33"/>
        <v>0</v>
      </c>
      <c r="K93" s="658">
        <f t="shared" si="33"/>
        <v>0</v>
      </c>
      <c r="L93" s="658">
        <f t="shared" si="33"/>
        <v>0</v>
      </c>
      <c r="M93" s="658">
        <f t="shared" si="33"/>
        <v>0</v>
      </c>
      <c r="N93" s="658">
        <f t="shared" si="33"/>
        <v>0</v>
      </c>
      <c r="O93" s="658">
        <f t="shared" si="33"/>
        <v>0</v>
      </c>
    </row>
    <row r="94" spans="1:15" ht="15" hidden="1">
      <c r="A94" s="506" t="s">
        <v>51</v>
      </c>
      <c r="B94" s="394" t="s">
        <v>137</v>
      </c>
      <c r="C94" s="658">
        <f t="shared" si="30"/>
        <v>44</v>
      </c>
      <c r="D94" s="660">
        <f>SUM(D95:D101)</f>
        <v>29</v>
      </c>
      <c r="E94" s="659">
        <f t="shared" si="32"/>
        <v>4</v>
      </c>
      <c r="F94" s="660">
        <f aca="true" t="shared" si="34" ref="F94:N94">SUM(F95:F101)</f>
        <v>0</v>
      </c>
      <c r="G94" s="660">
        <f t="shared" si="34"/>
        <v>4</v>
      </c>
      <c r="H94" s="660">
        <f t="shared" si="34"/>
        <v>0</v>
      </c>
      <c r="I94" s="660">
        <f t="shared" si="34"/>
        <v>11</v>
      </c>
      <c r="J94" s="660">
        <f t="shared" si="34"/>
        <v>0</v>
      </c>
      <c r="K94" s="660">
        <f t="shared" si="34"/>
        <v>0</v>
      </c>
      <c r="L94" s="660">
        <f t="shared" si="34"/>
        <v>0</v>
      </c>
      <c r="M94" s="660">
        <f t="shared" si="34"/>
        <v>0</v>
      </c>
      <c r="N94" s="660">
        <f t="shared" si="34"/>
        <v>0</v>
      </c>
      <c r="O94" s="660">
        <f>SUM(O95:O101)</f>
        <v>0</v>
      </c>
    </row>
    <row r="95" spans="1:15" ht="15.75" hidden="1">
      <c r="A95" s="505" t="s">
        <v>53</v>
      </c>
      <c r="B95" s="428" t="s">
        <v>138</v>
      </c>
      <c r="C95" s="656">
        <f aca="true" t="shared" si="35" ref="C95:C102">D95+E95+H95+I95+J95+K95+L95+M95+N95+O95</f>
        <v>5</v>
      </c>
      <c r="D95" s="766">
        <v>2</v>
      </c>
      <c r="E95" s="661">
        <f t="shared" si="32"/>
        <v>1</v>
      </c>
      <c r="F95" s="766">
        <v>0</v>
      </c>
      <c r="G95" s="766">
        <v>1</v>
      </c>
      <c r="H95" s="766">
        <v>0</v>
      </c>
      <c r="I95" s="766">
        <v>2</v>
      </c>
      <c r="J95" s="766">
        <v>0</v>
      </c>
      <c r="K95" s="766">
        <v>0</v>
      </c>
      <c r="L95" s="766">
        <v>0</v>
      </c>
      <c r="M95" s="766">
        <v>0</v>
      </c>
      <c r="N95" s="766">
        <v>0</v>
      </c>
      <c r="O95" s="766">
        <v>0</v>
      </c>
    </row>
    <row r="96" spans="1:15" ht="15.75" hidden="1">
      <c r="A96" s="505" t="s">
        <v>54</v>
      </c>
      <c r="B96" s="428" t="s">
        <v>139</v>
      </c>
      <c r="C96" s="656">
        <f t="shared" si="35"/>
        <v>0</v>
      </c>
      <c r="D96" s="766">
        <v>0</v>
      </c>
      <c r="E96" s="661">
        <f t="shared" si="32"/>
        <v>0</v>
      </c>
      <c r="F96" s="766">
        <v>0</v>
      </c>
      <c r="G96" s="766">
        <v>0</v>
      </c>
      <c r="H96" s="766">
        <v>0</v>
      </c>
      <c r="I96" s="766">
        <v>0</v>
      </c>
      <c r="J96" s="766">
        <v>0</v>
      </c>
      <c r="K96" s="766">
        <v>0</v>
      </c>
      <c r="L96" s="766">
        <v>0</v>
      </c>
      <c r="M96" s="766">
        <v>0</v>
      </c>
      <c r="N96" s="766">
        <v>0</v>
      </c>
      <c r="O96" s="766">
        <v>0</v>
      </c>
    </row>
    <row r="97" spans="1:15" ht="15.75" hidden="1">
      <c r="A97" s="505" t="s">
        <v>140</v>
      </c>
      <c r="B97" s="428" t="s">
        <v>141</v>
      </c>
      <c r="C97" s="656">
        <f t="shared" si="35"/>
        <v>38</v>
      </c>
      <c r="D97" s="766">
        <v>26</v>
      </c>
      <c r="E97" s="661">
        <f t="shared" si="32"/>
        <v>3</v>
      </c>
      <c r="F97" s="766">
        <v>0</v>
      </c>
      <c r="G97" s="766">
        <v>3</v>
      </c>
      <c r="H97" s="766">
        <v>0</v>
      </c>
      <c r="I97" s="766">
        <v>9</v>
      </c>
      <c r="J97" s="766">
        <v>0</v>
      </c>
      <c r="K97" s="766">
        <v>0</v>
      </c>
      <c r="L97" s="766">
        <v>0</v>
      </c>
      <c r="M97" s="766">
        <v>0</v>
      </c>
      <c r="N97" s="766">
        <v>0</v>
      </c>
      <c r="O97" s="766">
        <v>0</v>
      </c>
    </row>
    <row r="98" spans="1:15" ht="15.75" hidden="1">
      <c r="A98" s="505" t="s">
        <v>142</v>
      </c>
      <c r="B98" s="428" t="s">
        <v>143</v>
      </c>
      <c r="C98" s="656">
        <f t="shared" si="35"/>
        <v>0</v>
      </c>
      <c r="D98" s="766">
        <v>0</v>
      </c>
      <c r="E98" s="661">
        <f t="shared" si="32"/>
        <v>0</v>
      </c>
      <c r="F98" s="766">
        <v>0</v>
      </c>
      <c r="G98" s="766">
        <v>0</v>
      </c>
      <c r="H98" s="766">
        <v>0</v>
      </c>
      <c r="I98" s="766">
        <v>0</v>
      </c>
      <c r="J98" s="766">
        <v>0</v>
      </c>
      <c r="K98" s="766">
        <v>0</v>
      </c>
      <c r="L98" s="766">
        <v>0</v>
      </c>
      <c r="M98" s="766">
        <v>0</v>
      </c>
      <c r="N98" s="766">
        <v>0</v>
      </c>
      <c r="O98" s="766">
        <v>0</v>
      </c>
    </row>
    <row r="99" spans="1:15" ht="15.75" hidden="1">
      <c r="A99" s="505" t="s">
        <v>144</v>
      </c>
      <c r="B99" s="428" t="s">
        <v>145</v>
      </c>
      <c r="C99" s="656">
        <f t="shared" si="35"/>
        <v>0</v>
      </c>
      <c r="D99" s="766">
        <v>0</v>
      </c>
      <c r="E99" s="661">
        <f t="shared" si="32"/>
        <v>0</v>
      </c>
      <c r="F99" s="766">
        <v>0</v>
      </c>
      <c r="G99" s="766">
        <v>0</v>
      </c>
      <c r="H99" s="766">
        <v>0</v>
      </c>
      <c r="I99" s="766">
        <v>0</v>
      </c>
      <c r="J99" s="766">
        <v>0</v>
      </c>
      <c r="K99" s="766">
        <v>0</v>
      </c>
      <c r="L99" s="766">
        <v>0</v>
      </c>
      <c r="M99" s="766">
        <v>0</v>
      </c>
      <c r="N99" s="766">
        <v>0</v>
      </c>
      <c r="O99" s="766">
        <v>0</v>
      </c>
    </row>
    <row r="100" spans="1:15" ht="25.5" hidden="1">
      <c r="A100" s="505" t="s">
        <v>146</v>
      </c>
      <c r="B100" s="430" t="s">
        <v>147</v>
      </c>
      <c r="C100" s="656">
        <f t="shared" si="35"/>
        <v>0</v>
      </c>
      <c r="D100" s="766">
        <v>0</v>
      </c>
      <c r="E100" s="661">
        <f>SUM(F100:G100)</f>
        <v>0</v>
      </c>
      <c r="F100" s="766">
        <v>0</v>
      </c>
      <c r="G100" s="766">
        <v>0</v>
      </c>
      <c r="H100" s="766">
        <v>0</v>
      </c>
      <c r="I100" s="766">
        <v>0</v>
      </c>
      <c r="J100" s="766">
        <v>0</v>
      </c>
      <c r="K100" s="766">
        <v>0</v>
      </c>
      <c r="L100" s="766">
        <v>0</v>
      </c>
      <c r="M100" s="766">
        <v>0</v>
      </c>
      <c r="N100" s="766">
        <v>0</v>
      </c>
      <c r="O100" s="766">
        <v>0</v>
      </c>
    </row>
    <row r="101" spans="1:15" ht="15.75" hidden="1">
      <c r="A101" s="505" t="s">
        <v>148</v>
      </c>
      <c r="B101" s="428" t="s">
        <v>149</v>
      </c>
      <c r="C101" s="656">
        <f t="shared" si="35"/>
        <v>1</v>
      </c>
      <c r="D101" s="766">
        <v>1</v>
      </c>
      <c r="E101" s="661">
        <f>SUM(F101:G101)</f>
        <v>0</v>
      </c>
      <c r="F101" s="766">
        <v>0</v>
      </c>
      <c r="G101" s="766">
        <v>0</v>
      </c>
      <c r="H101" s="766">
        <v>0</v>
      </c>
      <c r="I101" s="766">
        <v>0</v>
      </c>
      <c r="J101" s="766">
        <v>0</v>
      </c>
      <c r="K101" s="766">
        <v>0</v>
      </c>
      <c r="L101" s="766">
        <v>0</v>
      </c>
      <c r="M101" s="766">
        <v>0</v>
      </c>
      <c r="N101" s="766">
        <v>0</v>
      </c>
      <c r="O101" s="766">
        <v>0</v>
      </c>
    </row>
    <row r="102" spans="1:15" ht="15" customHeight="1" hidden="1">
      <c r="A102" s="506" t="s">
        <v>52</v>
      </c>
      <c r="B102" s="394" t="s">
        <v>150</v>
      </c>
      <c r="C102" s="630">
        <f t="shared" si="35"/>
        <v>37</v>
      </c>
      <c r="D102" s="630">
        <f>D93-D94</f>
        <v>27</v>
      </c>
      <c r="E102" s="638">
        <f>SUM(F102:G102)</f>
        <v>5</v>
      </c>
      <c r="F102" s="630">
        <f>F93-F94</f>
        <v>0</v>
      </c>
      <c r="G102" s="630">
        <f>G93-G94</f>
        <v>5</v>
      </c>
      <c r="H102" s="630">
        <f>H93-H94</f>
        <v>0</v>
      </c>
      <c r="I102" s="630">
        <f aca="true" t="shared" si="36" ref="I102:N102">I93-I94</f>
        <v>5</v>
      </c>
      <c r="J102" s="630">
        <f t="shared" si="36"/>
        <v>0</v>
      </c>
      <c r="K102" s="630">
        <f t="shared" si="36"/>
        <v>0</v>
      </c>
      <c r="L102" s="630">
        <f t="shared" si="36"/>
        <v>0</v>
      </c>
      <c r="M102" s="630">
        <f t="shared" si="36"/>
        <v>0</v>
      </c>
      <c r="N102" s="630">
        <f t="shared" si="36"/>
        <v>0</v>
      </c>
      <c r="O102" s="630">
        <f>O88-O94</f>
        <v>0</v>
      </c>
    </row>
    <row r="103" spans="1:15" ht="25.5" hidden="1">
      <c r="A103" s="507" t="s">
        <v>538</v>
      </c>
      <c r="B103" s="431" t="s">
        <v>151</v>
      </c>
      <c r="C103" s="514">
        <f>(C95+C96)/C94</f>
        <v>0.11363636363636363</v>
      </c>
      <c r="D103" s="514">
        <f aca="true" t="shared" si="37" ref="D103:O103">(D95+D96)/D94</f>
        <v>0.06896551724137931</v>
      </c>
      <c r="E103" s="514">
        <f t="shared" si="37"/>
        <v>0.25</v>
      </c>
      <c r="F103" s="514" t="e">
        <f t="shared" si="37"/>
        <v>#DIV/0!</v>
      </c>
      <c r="G103" s="514">
        <f t="shared" si="37"/>
        <v>0.25</v>
      </c>
      <c r="H103" s="514" t="e">
        <f t="shared" si="37"/>
        <v>#DIV/0!</v>
      </c>
      <c r="I103" s="514">
        <f t="shared" si="37"/>
        <v>0.18181818181818182</v>
      </c>
      <c r="J103" s="514" t="e">
        <f t="shared" si="37"/>
        <v>#DIV/0!</v>
      </c>
      <c r="K103" s="514" t="e">
        <f t="shared" si="37"/>
        <v>#DIV/0!</v>
      </c>
      <c r="L103" s="514" t="e">
        <f t="shared" si="37"/>
        <v>#DIV/0!</v>
      </c>
      <c r="M103" s="514" t="e">
        <f t="shared" si="37"/>
        <v>#DIV/0!</v>
      </c>
      <c r="N103" s="514" t="e">
        <f t="shared" si="37"/>
        <v>#DIV/0!</v>
      </c>
      <c r="O103" s="514" t="e">
        <f t="shared" si="37"/>
        <v>#DIV/0!</v>
      </c>
    </row>
    <row r="104" ht="15" hidden="1"/>
    <row r="105" ht="15" hidden="1">
      <c r="B105" s="718" t="s">
        <v>697</v>
      </c>
    </row>
    <row r="106" spans="1:15" ht="15" hidden="1">
      <c r="A106" s="1279" t="s">
        <v>68</v>
      </c>
      <c r="B106" s="1279"/>
      <c r="C106" s="1279" t="s">
        <v>37</v>
      </c>
      <c r="D106" s="1279" t="s">
        <v>335</v>
      </c>
      <c r="E106" s="1279"/>
      <c r="F106" s="1279"/>
      <c r="G106" s="1279"/>
      <c r="H106" s="1279"/>
      <c r="I106" s="1279"/>
      <c r="J106" s="1279"/>
      <c r="K106" s="1279"/>
      <c r="L106" s="1279"/>
      <c r="M106" s="1279"/>
      <c r="N106" s="1279"/>
      <c r="O106" s="1279"/>
    </row>
    <row r="107" spans="1:15" ht="15" hidden="1">
      <c r="A107" s="1279"/>
      <c r="B107" s="1279"/>
      <c r="C107" s="1279"/>
      <c r="D107" s="1304" t="s">
        <v>119</v>
      </c>
      <c r="E107" s="1302" t="s">
        <v>120</v>
      </c>
      <c r="F107" s="1302"/>
      <c r="G107" s="1302"/>
      <c r="H107" s="1302" t="s">
        <v>121</v>
      </c>
      <c r="I107" s="1302" t="s">
        <v>122</v>
      </c>
      <c r="J107" s="1302" t="s">
        <v>123</v>
      </c>
      <c r="K107" s="1302" t="s">
        <v>124</v>
      </c>
      <c r="L107" s="1302" t="s">
        <v>125</v>
      </c>
      <c r="M107" s="1302" t="s">
        <v>126</v>
      </c>
      <c r="N107" s="1302" t="s">
        <v>183</v>
      </c>
      <c r="O107" s="1302" t="s">
        <v>127</v>
      </c>
    </row>
    <row r="108" spans="1:15" ht="15" hidden="1">
      <c r="A108" s="1279"/>
      <c r="B108" s="1279"/>
      <c r="C108" s="1279"/>
      <c r="D108" s="1304"/>
      <c r="E108" s="1302" t="s">
        <v>36</v>
      </c>
      <c r="F108" s="1302" t="s">
        <v>7</v>
      </c>
      <c r="G108" s="1302"/>
      <c r="H108" s="1302"/>
      <c r="I108" s="1302"/>
      <c r="J108" s="1302"/>
      <c r="K108" s="1302"/>
      <c r="L108" s="1302"/>
      <c r="M108" s="1302"/>
      <c r="N108" s="1302"/>
      <c r="O108" s="1302"/>
    </row>
    <row r="109" spans="1:15" ht="0.75" customHeight="1" hidden="1">
      <c r="A109" s="1279"/>
      <c r="B109" s="1279"/>
      <c r="C109" s="1279"/>
      <c r="D109" s="1304"/>
      <c r="E109" s="1302"/>
      <c r="F109" s="558" t="s">
        <v>128</v>
      </c>
      <c r="G109" s="558" t="s">
        <v>129</v>
      </c>
      <c r="H109" s="1302"/>
      <c r="I109" s="1302"/>
      <c r="J109" s="1302"/>
      <c r="K109" s="1302"/>
      <c r="L109" s="1302"/>
      <c r="M109" s="1302"/>
      <c r="N109" s="1302"/>
      <c r="O109" s="1302"/>
    </row>
    <row r="110" spans="1:15" ht="15" hidden="1">
      <c r="A110" s="1303" t="s">
        <v>39</v>
      </c>
      <c r="B110" s="1303"/>
      <c r="C110" s="515">
        <v>1</v>
      </c>
      <c r="D110" s="515">
        <v>2</v>
      </c>
      <c r="E110" s="515">
        <v>3</v>
      </c>
      <c r="F110" s="515">
        <v>4</v>
      </c>
      <c r="G110" s="515">
        <v>5</v>
      </c>
      <c r="H110" s="515">
        <v>6</v>
      </c>
      <c r="I110" s="515">
        <v>7</v>
      </c>
      <c r="J110" s="515">
        <v>8</v>
      </c>
      <c r="K110" s="515">
        <v>9</v>
      </c>
      <c r="L110" s="515">
        <v>10</v>
      </c>
      <c r="M110" s="515">
        <v>11</v>
      </c>
      <c r="N110" s="515">
        <v>12</v>
      </c>
      <c r="O110" s="515">
        <v>13</v>
      </c>
    </row>
    <row r="111" spans="1:15" ht="15" hidden="1">
      <c r="A111" s="506" t="s">
        <v>0</v>
      </c>
      <c r="B111" s="437" t="s">
        <v>130</v>
      </c>
      <c r="C111" s="630">
        <f aca="true" t="shared" si="38" ref="C111:C117">SUM(D111,E111,H111:O111)</f>
        <v>130</v>
      </c>
      <c r="D111" s="638">
        <f aca="true" t="shared" si="39" ref="D111:O111">SUM(D112:D113)</f>
        <v>80</v>
      </c>
      <c r="E111" s="638">
        <f t="shared" si="39"/>
        <v>20</v>
      </c>
      <c r="F111" s="638">
        <f t="shared" si="39"/>
        <v>0</v>
      </c>
      <c r="G111" s="638">
        <f t="shared" si="39"/>
        <v>20</v>
      </c>
      <c r="H111" s="638">
        <f t="shared" si="39"/>
        <v>0</v>
      </c>
      <c r="I111" s="638">
        <f t="shared" si="39"/>
        <v>30</v>
      </c>
      <c r="J111" s="638">
        <f t="shared" si="39"/>
        <v>0</v>
      </c>
      <c r="K111" s="638">
        <f t="shared" si="39"/>
        <v>0</v>
      </c>
      <c r="L111" s="638">
        <f t="shared" si="39"/>
        <v>0</v>
      </c>
      <c r="M111" s="638">
        <f t="shared" si="39"/>
        <v>0</v>
      </c>
      <c r="N111" s="638">
        <f t="shared" si="39"/>
        <v>0</v>
      </c>
      <c r="O111" s="638">
        <f t="shared" si="39"/>
        <v>0</v>
      </c>
    </row>
    <row r="112" spans="1:15" ht="15" hidden="1">
      <c r="A112" s="505">
        <v>1</v>
      </c>
      <c r="B112" s="428" t="s">
        <v>131</v>
      </c>
      <c r="C112" s="656">
        <f t="shared" si="38"/>
        <v>103</v>
      </c>
      <c r="D112" s="654">
        <v>73</v>
      </c>
      <c r="E112" s="657">
        <f>F112+G112</f>
        <v>12</v>
      </c>
      <c r="F112" s="405">
        <v>0</v>
      </c>
      <c r="G112" s="405">
        <v>12</v>
      </c>
      <c r="H112" s="405">
        <v>0</v>
      </c>
      <c r="I112" s="405">
        <v>18</v>
      </c>
      <c r="J112" s="405">
        <v>0</v>
      </c>
      <c r="K112" s="405">
        <v>0</v>
      </c>
      <c r="L112" s="405">
        <v>0</v>
      </c>
      <c r="M112" s="405">
        <v>0</v>
      </c>
      <c r="N112" s="654">
        <v>0</v>
      </c>
      <c r="O112" s="654">
        <v>0</v>
      </c>
    </row>
    <row r="113" spans="1:15" ht="15" hidden="1">
      <c r="A113" s="505">
        <v>2</v>
      </c>
      <c r="B113" s="428" t="s">
        <v>132</v>
      </c>
      <c r="C113" s="656">
        <f t="shared" si="38"/>
        <v>27</v>
      </c>
      <c r="D113" s="654">
        <v>7</v>
      </c>
      <c r="E113" s="657">
        <f>F113+G113</f>
        <v>8</v>
      </c>
      <c r="F113" s="405">
        <v>0</v>
      </c>
      <c r="G113" s="405">
        <v>8</v>
      </c>
      <c r="H113" s="405">
        <v>0</v>
      </c>
      <c r="I113" s="405">
        <v>12</v>
      </c>
      <c r="J113" s="405">
        <v>0</v>
      </c>
      <c r="K113" s="405">
        <v>0</v>
      </c>
      <c r="L113" s="405">
        <v>0</v>
      </c>
      <c r="M113" s="405">
        <v>0</v>
      </c>
      <c r="N113" s="654">
        <v>0</v>
      </c>
      <c r="O113" s="654">
        <v>0</v>
      </c>
    </row>
    <row r="114" spans="1:15" ht="15" hidden="1">
      <c r="A114" s="506" t="s">
        <v>1</v>
      </c>
      <c r="B114" s="394" t="s">
        <v>133</v>
      </c>
      <c r="C114" s="656">
        <f t="shared" si="38"/>
        <v>0</v>
      </c>
      <c r="D114" s="654"/>
      <c r="E114" s="657">
        <f>F114+G114</f>
        <v>0</v>
      </c>
      <c r="F114" s="405">
        <v>0</v>
      </c>
      <c r="G114" s="405">
        <v>0</v>
      </c>
      <c r="H114" s="405">
        <v>0</v>
      </c>
      <c r="I114" s="405">
        <v>0</v>
      </c>
      <c r="J114" s="405">
        <v>0</v>
      </c>
      <c r="K114" s="405">
        <v>0</v>
      </c>
      <c r="L114" s="405">
        <v>0</v>
      </c>
      <c r="M114" s="405">
        <v>0</v>
      </c>
      <c r="N114" s="405">
        <v>0</v>
      </c>
      <c r="O114" s="405">
        <v>0</v>
      </c>
    </row>
    <row r="115" spans="1:15" ht="15" hidden="1">
      <c r="A115" s="506" t="s">
        <v>9</v>
      </c>
      <c r="B115" s="394" t="s">
        <v>134</v>
      </c>
      <c r="C115" s="656">
        <f t="shared" si="38"/>
        <v>0</v>
      </c>
      <c r="D115" s="655"/>
      <c r="E115" s="657"/>
      <c r="F115" s="655"/>
      <c r="G115" s="655"/>
      <c r="H115" s="655"/>
      <c r="I115" s="655"/>
      <c r="J115" s="655"/>
      <c r="K115" s="655"/>
      <c r="L115" s="655"/>
      <c r="M115" s="655"/>
      <c r="N115" s="655"/>
      <c r="O115" s="655"/>
    </row>
    <row r="116" spans="1:15" ht="15" hidden="1">
      <c r="A116" s="506" t="s">
        <v>135</v>
      </c>
      <c r="B116" s="394" t="s">
        <v>136</v>
      </c>
      <c r="C116" s="658">
        <f t="shared" si="38"/>
        <v>130</v>
      </c>
      <c r="D116" s="658">
        <f>D111-SUM(D114,D115)</f>
        <v>80</v>
      </c>
      <c r="E116" s="659">
        <f aca="true" t="shared" si="40" ref="E116:E122">SUM(F116:G116)</f>
        <v>20</v>
      </c>
      <c r="F116" s="658">
        <f aca="true" t="shared" si="41" ref="F116:O116">F111-SUM(F114,F115)</f>
        <v>0</v>
      </c>
      <c r="G116" s="658">
        <f t="shared" si="41"/>
        <v>20</v>
      </c>
      <c r="H116" s="658">
        <f t="shared" si="41"/>
        <v>0</v>
      </c>
      <c r="I116" s="658">
        <f t="shared" si="41"/>
        <v>30</v>
      </c>
      <c r="J116" s="658">
        <f t="shared" si="41"/>
        <v>0</v>
      </c>
      <c r="K116" s="658">
        <f t="shared" si="41"/>
        <v>0</v>
      </c>
      <c r="L116" s="658">
        <f t="shared" si="41"/>
        <v>0</v>
      </c>
      <c r="M116" s="658">
        <f t="shared" si="41"/>
        <v>0</v>
      </c>
      <c r="N116" s="658">
        <f t="shared" si="41"/>
        <v>0</v>
      </c>
      <c r="O116" s="658">
        <f t="shared" si="41"/>
        <v>0</v>
      </c>
    </row>
    <row r="117" spans="1:15" ht="15" hidden="1">
      <c r="A117" s="506" t="s">
        <v>51</v>
      </c>
      <c r="B117" s="394" t="s">
        <v>137</v>
      </c>
      <c r="C117" s="658">
        <f t="shared" si="38"/>
        <v>72</v>
      </c>
      <c r="D117" s="660">
        <f>SUM(D118:D124)</f>
        <v>40</v>
      </c>
      <c r="E117" s="659">
        <f t="shared" si="40"/>
        <v>9</v>
      </c>
      <c r="F117" s="660">
        <f aca="true" t="shared" si="42" ref="F117:N117">SUM(F118:F124)</f>
        <v>0</v>
      </c>
      <c r="G117" s="660">
        <f t="shared" si="42"/>
        <v>9</v>
      </c>
      <c r="H117" s="660">
        <f t="shared" si="42"/>
        <v>0</v>
      </c>
      <c r="I117" s="660">
        <f t="shared" si="42"/>
        <v>23</v>
      </c>
      <c r="J117" s="660">
        <f t="shared" si="42"/>
        <v>0</v>
      </c>
      <c r="K117" s="660">
        <f t="shared" si="42"/>
        <v>0</v>
      </c>
      <c r="L117" s="660">
        <f t="shared" si="42"/>
        <v>0</v>
      </c>
      <c r="M117" s="660">
        <f t="shared" si="42"/>
        <v>0</v>
      </c>
      <c r="N117" s="660">
        <f t="shared" si="42"/>
        <v>0</v>
      </c>
      <c r="O117" s="660">
        <f>SUM(O118:O124)</f>
        <v>0</v>
      </c>
    </row>
    <row r="118" spans="1:15" ht="15" hidden="1">
      <c r="A118" s="505" t="s">
        <v>53</v>
      </c>
      <c r="B118" s="428" t="s">
        <v>138</v>
      </c>
      <c r="C118" s="656">
        <f aca="true" t="shared" si="43" ref="C118:C125">D118+E118+H118+I118+J118+K118+L118+M118+N118+O118</f>
        <v>17</v>
      </c>
      <c r="D118" s="405">
        <v>3</v>
      </c>
      <c r="E118" s="661">
        <f t="shared" si="40"/>
        <v>3</v>
      </c>
      <c r="F118" s="405">
        <v>0</v>
      </c>
      <c r="G118" s="405">
        <v>3</v>
      </c>
      <c r="H118" s="405">
        <v>0</v>
      </c>
      <c r="I118" s="405">
        <v>11</v>
      </c>
      <c r="J118" s="405">
        <v>0</v>
      </c>
      <c r="K118" s="405">
        <v>0</v>
      </c>
      <c r="L118" s="405">
        <v>0</v>
      </c>
      <c r="M118" s="654">
        <v>0</v>
      </c>
      <c r="N118" s="654">
        <v>0</v>
      </c>
      <c r="O118" s="654">
        <v>0</v>
      </c>
    </row>
    <row r="119" spans="1:15" ht="15" hidden="1">
      <c r="A119" s="505" t="s">
        <v>54</v>
      </c>
      <c r="B119" s="428" t="s">
        <v>139</v>
      </c>
      <c r="C119" s="656">
        <f t="shared" si="43"/>
        <v>0</v>
      </c>
      <c r="D119" s="405">
        <v>0</v>
      </c>
      <c r="E119" s="661">
        <f t="shared" si="40"/>
        <v>0</v>
      </c>
      <c r="F119" s="405">
        <v>0</v>
      </c>
      <c r="G119" s="405">
        <v>0</v>
      </c>
      <c r="H119" s="405">
        <v>0</v>
      </c>
      <c r="I119" s="405">
        <v>0</v>
      </c>
      <c r="J119" s="405">
        <v>0</v>
      </c>
      <c r="K119" s="405">
        <v>0</v>
      </c>
      <c r="L119" s="405">
        <v>0</v>
      </c>
      <c r="M119" s="654">
        <v>0</v>
      </c>
      <c r="N119" s="654">
        <v>0</v>
      </c>
      <c r="O119" s="654">
        <v>0</v>
      </c>
    </row>
    <row r="120" spans="1:15" ht="15" hidden="1">
      <c r="A120" s="505" t="s">
        <v>140</v>
      </c>
      <c r="B120" s="428" t="s">
        <v>141</v>
      </c>
      <c r="C120" s="656">
        <f t="shared" si="43"/>
        <v>51</v>
      </c>
      <c r="D120" s="405">
        <v>33</v>
      </c>
      <c r="E120" s="661">
        <f t="shared" si="40"/>
        <v>6</v>
      </c>
      <c r="F120" s="405">
        <v>0</v>
      </c>
      <c r="G120" s="405">
        <v>6</v>
      </c>
      <c r="H120" s="405">
        <v>0</v>
      </c>
      <c r="I120" s="405">
        <v>12</v>
      </c>
      <c r="J120" s="405">
        <v>0</v>
      </c>
      <c r="K120" s="405">
        <v>0</v>
      </c>
      <c r="L120" s="405">
        <v>0</v>
      </c>
      <c r="M120" s="654">
        <v>0</v>
      </c>
      <c r="N120" s="654">
        <v>0</v>
      </c>
      <c r="O120" s="654">
        <v>0</v>
      </c>
    </row>
    <row r="121" spans="1:15" ht="15" hidden="1">
      <c r="A121" s="505" t="s">
        <v>142</v>
      </c>
      <c r="B121" s="428" t="s">
        <v>143</v>
      </c>
      <c r="C121" s="656">
        <f t="shared" si="43"/>
        <v>3</v>
      </c>
      <c r="D121" s="405">
        <v>3</v>
      </c>
      <c r="E121" s="661">
        <f t="shared" si="40"/>
        <v>0</v>
      </c>
      <c r="F121" s="405">
        <v>0</v>
      </c>
      <c r="G121" s="405">
        <v>0</v>
      </c>
      <c r="H121" s="405">
        <v>0</v>
      </c>
      <c r="I121" s="405">
        <v>0</v>
      </c>
      <c r="J121" s="405">
        <v>0</v>
      </c>
      <c r="K121" s="405">
        <v>0</v>
      </c>
      <c r="L121" s="405">
        <v>0</v>
      </c>
      <c r="M121" s="405">
        <v>0</v>
      </c>
      <c r="N121" s="405">
        <v>0</v>
      </c>
      <c r="O121" s="405">
        <v>0</v>
      </c>
    </row>
    <row r="122" spans="1:15" ht="15" hidden="1">
      <c r="A122" s="505" t="s">
        <v>144</v>
      </c>
      <c r="B122" s="428" t="s">
        <v>145</v>
      </c>
      <c r="C122" s="656">
        <f t="shared" si="43"/>
        <v>0</v>
      </c>
      <c r="D122" s="405">
        <v>0</v>
      </c>
      <c r="E122" s="661">
        <f t="shared" si="40"/>
        <v>0</v>
      </c>
      <c r="F122" s="405">
        <v>0</v>
      </c>
      <c r="G122" s="405">
        <v>0</v>
      </c>
      <c r="H122" s="405">
        <v>0</v>
      </c>
      <c r="I122" s="405">
        <v>0</v>
      </c>
      <c r="J122" s="405">
        <v>0</v>
      </c>
      <c r="K122" s="405">
        <v>0</v>
      </c>
      <c r="L122" s="405">
        <v>0</v>
      </c>
      <c r="M122" s="405">
        <v>0</v>
      </c>
      <c r="N122" s="405">
        <v>0</v>
      </c>
      <c r="O122" s="405">
        <v>0</v>
      </c>
    </row>
    <row r="123" spans="1:15" ht="25.5" hidden="1">
      <c r="A123" s="505" t="s">
        <v>146</v>
      </c>
      <c r="B123" s="430" t="s">
        <v>147</v>
      </c>
      <c r="C123" s="656">
        <f t="shared" si="43"/>
        <v>0</v>
      </c>
      <c r="D123" s="405">
        <v>0</v>
      </c>
      <c r="E123" s="661">
        <f>SUM(F123:G123)</f>
        <v>0</v>
      </c>
      <c r="F123" s="405">
        <v>0</v>
      </c>
      <c r="G123" s="405">
        <v>0</v>
      </c>
      <c r="H123" s="405">
        <v>0</v>
      </c>
      <c r="I123" s="405">
        <v>0</v>
      </c>
      <c r="J123" s="405">
        <v>0</v>
      </c>
      <c r="K123" s="405">
        <v>0</v>
      </c>
      <c r="L123" s="405">
        <v>0</v>
      </c>
      <c r="M123" s="405">
        <v>0</v>
      </c>
      <c r="N123" s="405">
        <v>0</v>
      </c>
      <c r="O123" s="405">
        <v>0</v>
      </c>
    </row>
    <row r="124" spans="1:15" ht="15" hidden="1">
      <c r="A124" s="505" t="s">
        <v>148</v>
      </c>
      <c r="B124" s="428" t="s">
        <v>149</v>
      </c>
      <c r="C124" s="656">
        <f t="shared" si="43"/>
        <v>1</v>
      </c>
      <c r="D124" s="405">
        <v>1</v>
      </c>
      <c r="E124" s="661">
        <f>SUM(F124:G124)</f>
        <v>0</v>
      </c>
      <c r="F124" s="405">
        <v>0</v>
      </c>
      <c r="G124" s="405">
        <v>0</v>
      </c>
      <c r="H124" s="405">
        <v>0</v>
      </c>
      <c r="I124" s="405">
        <v>0</v>
      </c>
      <c r="J124" s="405">
        <v>0</v>
      </c>
      <c r="K124" s="405">
        <v>0</v>
      </c>
      <c r="L124" s="405">
        <v>0</v>
      </c>
      <c r="M124" s="405">
        <v>0</v>
      </c>
      <c r="N124" s="405">
        <v>0</v>
      </c>
      <c r="O124" s="405">
        <v>0</v>
      </c>
    </row>
    <row r="125" spans="1:15" ht="15" hidden="1">
      <c r="A125" s="506" t="s">
        <v>52</v>
      </c>
      <c r="B125" s="394" t="s">
        <v>150</v>
      </c>
      <c r="C125" s="630">
        <f t="shared" si="43"/>
        <v>58</v>
      </c>
      <c r="D125" s="630">
        <f>D116-D117</f>
        <v>40</v>
      </c>
      <c r="E125" s="638">
        <f>SUM(F125:G125)</f>
        <v>11</v>
      </c>
      <c r="F125" s="630">
        <f>F116-F117</f>
        <v>0</v>
      </c>
      <c r="G125" s="630">
        <f>G116-G117</f>
        <v>11</v>
      </c>
      <c r="H125" s="630">
        <f>H116-H117</f>
        <v>0</v>
      </c>
      <c r="I125" s="630">
        <f aca="true" t="shared" si="44" ref="I125:N125">I116-I117</f>
        <v>7</v>
      </c>
      <c r="J125" s="630">
        <f t="shared" si="44"/>
        <v>0</v>
      </c>
      <c r="K125" s="630">
        <f t="shared" si="44"/>
        <v>0</v>
      </c>
      <c r="L125" s="630">
        <f t="shared" si="44"/>
        <v>0</v>
      </c>
      <c r="M125" s="630">
        <f t="shared" si="44"/>
        <v>0</v>
      </c>
      <c r="N125" s="630">
        <f t="shared" si="44"/>
        <v>0</v>
      </c>
      <c r="O125" s="630">
        <f>O111-O117</f>
        <v>0</v>
      </c>
    </row>
    <row r="126" spans="1:15" ht="25.5" hidden="1">
      <c r="A126" s="507" t="s">
        <v>538</v>
      </c>
      <c r="B126" s="431" t="s">
        <v>151</v>
      </c>
      <c r="C126" s="514">
        <f>(C118+C119)/C117</f>
        <v>0.2361111111111111</v>
      </c>
      <c r="D126" s="514">
        <f aca="true" t="shared" si="45" ref="D126:O126">(D118+D119)/D117</f>
        <v>0.075</v>
      </c>
      <c r="E126" s="514">
        <f t="shared" si="45"/>
        <v>0.3333333333333333</v>
      </c>
      <c r="F126" s="514" t="e">
        <f t="shared" si="45"/>
        <v>#DIV/0!</v>
      </c>
      <c r="G126" s="514">
        <f t="shared" si="45"/>
        <v>0.3333333333333333</v>
      </c>
      <c r="H126" s="514" t="e">
        <f t="shared" si="45"/>
        <v>#DIV/0!</v>
      </c>
      <c r="I126" s="514">
        <f t="shared" si="45"/>
        <v>0.4782608695652174</v>
      </c>
      <c r="J126" s="514" t="e">
        <f t="shared" si="45"/>
        <v>#DIV/0!</v>
      </c>
      <c r="K126" s="514" t="e">
        <f t="shared" si="45"/>
        <v>#DIV/0!</v>
      </c>
      <c r="L126" s="514" t="e">
        <f t="shared" si="45"/>
        <v>#DIV/0!</v>
      </c>
      <c r="M126" s="514" t="e">
        <f t="shared" si="45"/>
        <v>#DIV/0!</v>
      </c>
      <c r="N126" s="514" t="e">
        <f t="shared" si="45"/>
        <v>#DIV/0!</v>
      </c>
      <c r="O126" s="514" t="e">
        <f t="shared" si="45"/>
        <v>#DIV/0!</v>
      </c>
    </row>
    <row r="127" ht="15" hidden="1"/>
    <row r="128" ht="15" hidden="1">
      <c r="B128" s="718" t="s">
        <v>698</v>
      </c>
    </row>
    <row r="129" spans="1:15" ht="15" hidden="1">
      <c r="A129" s="1279" t="s">
        <v>68</v>
      </c>
      <c r="B129" s="1279"/>
      <c r="C129" s="1279" t="s">
        <v>37</v>
      </c>
      <c r="D129" s="1279" t="s">
        <v>335</v>
      </c>
      <c r="E129" s="1279"/>
      <c r="F129" s="1279"/>
      <c r="G129" s="1279"/>
      <c r="H129" s="1279"/>
      <c r="I129" s="1279"/>
      <c r="J129" s="1279"/>
      <c r="K129" s="1279"/>
      <c r="L129" s="1279"/>
      <c r="M129" s="1279"/>
      <c r="N129" s="1279"/>
      <c r="O129" s="1279"/>
    </row>
    <row r="130" spans="1:15" ht="15" hidden="1">
      <c r="A130" s="1279"/>
      <c r="B130" s="1279"/>
      <c r="C130" s="1279"/>
      <c r="D130" s="1304" t="s">
        <v>119</v>
      </c>
      <c r="E130" s="1302" t="s">
        <v>120</v>
      </c>
      <c r="F130" s="1302"/>
      <c r="G130" s="1302"/>
      <c r="H130" s="1302" t="s">
        <v>121</v>
      </c>
      <c r="I130" s="1302" t="s">
        <v>122</v>
      </c>
      <c r="J130" s="1302" t="s">
        <v>123</v>
      </c>
      <c r="K130" s="1302" t="s">
        <v>124</v>
      </c>
      <c r="L130" s="1302" t="s">
        <v>125</v>
      </c>
      <c r="M130" s="1302" t="s">
        <v>126</v>
      </c>
      <c r="N130" s="1302" t="s">
        <v>183</v>
      </c>
      <c r="O130" s="1302" t="s">
        <v>127</v>
      </c>
    </row>
    <row r="131" spans="1:15" ht="15" hidden="1">
      <c r="A131" s="1279"/>
      <c r="B131" s="1279"/>
      <c r="C131" s="1279"/>
      <c r="D131" s="1304"/>
      <c r="E131" s="1302" t="s">
        <v>36</v>
      </c>
      <c r="F131" s="1302" t="s">
        <v>7</v>
      </c>
      <c r="G131" s="1302"/>
      <c r="H131" s="1302"/>
      <c r="I131" s="1302"/>
      <c r="J131" s="1302"/>
      <c r="K131" s="1302"/>
      <c r="L131" s="1302"/>
      <c r="M131" s="1302"/>
      <c r="N131" s="1302"/>
      <c r="O131" s="1302"/>
    </row>
    <row r="132" spans="1:15" ht="30" hidden="1">
      <c r="A132" s="1279"/>
      <c r="B132" s="1279"/>
      <c r="C132" s="1279"/>
      <c r="D132" s="1304"/>
      <c r="E132" s="1302"/>
      <c r="F132" s="558" t="s">
        <v>128</v>
      </c>
      <c r="G132" s="558" t="s">
        <v>129</v>
      </c>
      <c r="H132" s="1302"/>
      <c r="I132" s="1302"/>
      <c r="J132" s="1302"/>
      <c r="K132" s="1302"/>
      <c r="L132" s="1302"/>
      <c r="M132" s="1302"/>
      <c r="N132" s="1302"/>
      <c r="O132" s="1302"/>
    </row>
    <row r="133" spans="1:15" ht="18" customHeight="1" hidden="1">
      <c r="A133" s="1303" t="s">
        <v>39</v>
      </c>
      <c r="B133" s="1303"/>
      <c r="C133" s="515">
        <v>1</v>
      </c>
      <c r="D133" s="515">
        <v>2</v>
      </c>
      <c r="E133" s="515">
        <v>3</v>
      </c>
      <c r="F133" s="515">
        <v>4</v>
      </c>
      <c r="G133" s="515">
        <v>5</v>
      </c>
      <c r="H133" s="515">
        <v>6</v>
      </c>
      <c r="I133" s="515">
        <v>7</v>
      </c>
      <c r="J133" s="515">
        <v>8</v>
      </c>
      <c r="K133" s="515">
        <v>9</v>
      </c>
      <c r="L133" s="515">
        <v>10</v>
      </c>
      <c r="M133" s="515">
        <v>11</v>
      </c>
      <c r="N133" s="515">
        <v>12</v>
      </c>
      <c r="O133" s="515">
        <v>13</v>
      </c>
    </row>
    <row r="134" spans="1:15" ht="20.25" customHeight="1" hidden="1">
      <c r="A134" s="506" t="s">
        <v>0</v>
      </c>
      <c r="B134" s="437" t="s">
        <v>130</v>
      </c>
      <c r="C134" s="630">
        <f aca="true" t="shared" si="46" ref="C134:C140">SUM(D134,E134,H134:O134)</f>
        <v>73</v>
      </c>
      <c r="D134" s="638">
        <f aca="true" t="shared" si="47" ref="D134:O134">SUM(D135:D136)</f>
        <v>41</v>
      </c>
      <c r="E134" s="638">
        <f t="shared" si="47"/>
        <v>9</v>
      </c>
      <c r="F134" s="638">
        <f t="shared" si="47"/>
        <v>0</v>
      </c>
      <c r="G134" s="638">
        <f t="shared" si="47"/>
        <v>9</v>
      </c>
      <c r="H134" s="638">
        <f t="shared" si="47"/>
        <v>0</v>
      </c>
      <c r="I134" s="638">
        <f t="shared" si="47"/>
        <v>22</v>
      </c>
      <c r="J134" s="638">
        <f t="shared" si="47"/>
        <v>1</v>
      </c>
      <c r="K134" s="638">
        <f t="shared" si="47"/>
        <v>0</v>
      </c>
      <c r="L134" s="638">
        <f t="shared" si="47"/>
        <v>0</v>
      </c>
      <c r="M134" s="638">
        <f t="shared" si="47"/>
        <v>0</v>
      </c>
      <c r="N134" s="638">
        <f t="shared" si="47"/>
        <v>0</v>
      </c>
      <c r="O134" s="638">
        <f t="shared" si="47"/>
        <v>0</v>
      </c>
    </row>
    <row r="135" spans="1:15" ht="15" hidden="1">
      <c r="A135" s="505">
        <v>1</v>
      </c>
      <c r="B135" s="428" t="s">
        <v>131</v>
      </c>
      <c r="C135" s="656">
        <f t="shared" si="46"/>
        <v>43</v>
      </c>
      <c r="D135" s="824">
        <v>26</v>
      </c>
      <c r="E135" s="657">
        <f>F135+G135</f>
        <v>6</v>
      </c>
      <c r="F135" s="824"/>
      <c r="G135" s="824">
        <v>6</v>
      </c>
      <c r="H135" s="824"/>
      <c r="I135" s="824">
        <v>10</v>
      </c>
      <c r="J135" s="824">
        <v>1</v>
      </c>
      <c r="K135" s="824"/>
      <c r="L135" s="824"/>
      <c r="M135" s="824"/>
      <c r="N135" s="686"/>
      <c r="O135" s="686"/>
    </row>
    <row r="136" spans="1:15" ht="15" hidden="1">
      <c r="A136" s="505">
        <v>2</v>
      </c>
      <c r="B136" s="428" t="s">
        <v>132</v>
      </c>
      <c r="C136" s="656">
        <f t="shared" si="46"/>
        <v>30</v>
      </c>
      <c r="D136" s="824">
        <v>15</v>
      </c>
      <c r="E136" s="657">
        <f>F136+G136</f>
        <v>3</v>
      </c>
      <c r="F136" s="824"/>
      <c r="G136" s="824">
        <v>3</v>
      </c>
      <c r="H136" s="824"/>
      <c r="I136" s="824">
        <v>12</v>
      </c>
      <c r="J136" s="824"/>
      <c r="K136" s="824"/>
      <c r="L136" s="824"/>
      <c r="M136" s="824"/>
      <c r="N136" s="686"/>
      <c r="O136" s="686"/>
    </row>
    <row r="137" spans="1:15" ht="15" hidden="1">
      <c r="A137" s="506" t="s">
        <v>1</v>
      </c>
      <c r="B137" s="394" t="s">
        <v>133</v>
      </c>
      <c r="C137" s="656">
        <f t="shared" si="46"/>
        <v>0</v>
      </c>
      <c r="D137" s="685"/>
      <c r="E137" s="657">
        <f>F137+G137</f>
        <v>0</v>
      </c>
      <c r="F137" s="686"/>
      <c r="G137" s="686"/>
      <c r="H137" s="686"/>
      <c r="I137" s="686"/>
      <c r="J137" s="686"/>
      <c r="K137" s="686"/>
      <c r="L137" s="686"/>
      <c r="M137" s="686"/>
      <c r="N137" s="686"/>
      <c r="O137" s="686"/>
    </row>
    <row r="138" spans="1:15" ht="15" customHeight="1" hidden="1">
      <c r="A138" s="506" t="s">
        <v>9</v>
      </c>
      <c r="B138" s="394" t="s">
        <v>134</v>
      </c>
      <c r="C138" s="656">
        <f t="shared" si="46"/>
        <v>0</v>
      </c>
      <c r="D138" s="685"/>
      <c r="E138" s="657"/>
      <c r="F138" s="685"/>
      <c r="G138" s="685"/>
      <c r="H138" s="685"/>
      <c r="I138" s="685"/>
      <c r="J138" s="685"/>
      <c r="K138" s="685"/>
      <c r="L138" s="685"/>
      <c r="M138" s="685"/>
      <c r="N138" s="686"/>
      <c r="O138" s="686"/>
    </row>
    <row r="139" spans="1:15" ht="15" hidden="1">
      <c r="A139" s="506" t="s">
        <v>135</v>
      </c>
      <c r="B139" s="394" t="s">
        <v>136</v>
      </c>
      <c r="C139" s="658">
        <f t="shared" si="46"/>
        <v>73</v>
      </c>
      <c r="D139" s="658">
        <f>D134-SUM(D137,D138)</f>
        <v>41</v>
      </c>
      <c r="E139" s="659">
        <f aca="true" t="shared" si="48" ref="E139:E145">SUM(F139:G139)</f>
        <v>9</v>
      </c>
      <c r="F139" s="658">
        <f aca="true" t="shared" si="49" ref="F139:O139">F134-SUM(F137,F138)</f>
        <v>0</v>
      </c>
      <c r="G139" s="658">
        <f t="shared" si="49"/>
        <v>9</v>
      </c>
      <c r="H139" s="658">
        <f t="shared" si="49"/>
        <v>0</v>
      </c>
      <c r="I139" s="658">
        <f t="shared" si="49"/>
        <v>22</v>
      </c>
      <c r="J139" s="658">
        <f t="shared" si="49"/>
        <v>1</v>
      </c>
      <c r="K139" s="658">
        <f t="shared" si="49"/>
        <v>0</v>
      </c>
      <c r="L139" s="658">
        <f t="shared" si="49"/>
        <v>0</v>
      </c>
      <c r="M139" s="658">
        <f t="shared" si="49"/>
        <v>0</v>
      </c>
      <c r="N139" s="658">
        <f t="shared" si="49"/>
        <v>0</v>
      </c>
      <c r="O139" s="658">
        <f t="shared" si="49"/>
        <v>0</v>
      </c>
    </row>
    <row r="140" spans="1:15" ht="15" hidden="1">
      <c r="A140" s="506" t="s">
        <v>51</v>
      </c>
      <c r="B140" s="394" t="s">
        <v>137</v>
      </c>
      <c r="C140" s="658">
        <f t="shared" si="46"/>
        <v>42</v>
      </c>
      <c r="D140" s="660">
        <f>SUM(D141:D147)</f>
        <v>27</v>
      </c>
      <c r="E140" s="659">
        <f t="shared" si="48"/>
        <v>0</v>
      </c>
      <c r="F140" s="660">
        <f aca="true" t="shared" si="50" ref="F140:N140">SUM(F141:F147)</f>
        <v>0</v>
      </c>
      <c r="G140" s="660">
        <f t="shared" si="50"/>
        <v>0</v>
      </c>
      <c r="H140" s="660">
        <f t="shared" si="50"/>
        <v>0</v>
      </c>
      <c r="I140" s="660">
        <f t="shared" si="50"/>
        <v>14</v>
      </c>
      <c r="J140" s="660">
        <f t="shared" si="50"/>
        <v>1</v>
      </c>
      <c r="K140" s="660">
        <f t="shared" si="50"/>
        <v>0</v>
      </c>
      <c r="L140" s="660">
        <f t="shared" si="50"/>
        <v>0</v>
      </c>
      <c r="M140" s="660">
        <f t="shared" si="50"/>
        <v>0</v>
      </c>
      <c r="N140" s="660">
        <f t="shared" si="50"/>
        <v>0</v>
      </c>
      <c r="O140" s="660">
        <f>SUM(O141:O147)</f>
        <v>0</v>
      </c>
    </row>
    <row r="141" spans="1:15" ht="15" hidden="1">
      <c r="A141" s="505" t="s">
        <v>53</v>
      </c>
      <c r="B141" s="428" t="s">
        <v>138</v>
      </c>
      <c r="C141" s="656">
        <f aca="true" t="shared" si="51" ref="C141:D148">D141+E141+H141+I141+J141+K141+L141+M141+N141+O141</f>
        <v>10</v>
      </c>
      <c r="D141" s="736">
        <v>6</v>
      </c>
      <c r="E141" s="661">
        <f t="shared" si="48"/>
        <v>0</v>
      </c>
      <c r="F141" s="687"/>
      <c r="G141" s="687"/>
      <c r="H141" s="687"/>
      <c r="I141" s="687">
        <v>3</v>
      </c>
      <c r="J141" s="687">
        <v>1</v>
      </c>
      <c r="K141" s="687"/>
      <c r="L141" s="687"/>
      <c r="M141" s="687"/>
      <c r="N141" s="686"/>
      <c r="O141" s="686"/>
    </row>
    <row r="142" spans="1:15" ht="15" hidden="1">
      <c r="A142" s="505" t="s">
        <v>54</v>
      </c>
      <c r="B142" s="428" t="s">
        <v>139</v>
      </c>
      <c r="C142" s="656">
        <f t="shared" si="51"/>
        <v>1</v>
      </c>
      <c r="D142" s="736">
        <v>1</v>
      </c>
      <c r="E142" s="661">
        <f t="shared" si="48"/>
        <v>0</v>
      </c>
      <c r="F142" s="687"/>
      <c r="G142" s="687"/>
      <c r="H142" s="687"/>
      <c r="I142" s="687"/>
      <c r="J142" s="687"/>
      <c r="K142" s="687"/>
      <c r="L142" s="687"/>
      <c r="M142" s="687"/>
      <c r="N142" s="686"/>
      <c r="O142" s="686"/>
    </row>
    <row r="143" spans="1:15" ht="16.5" customHeight="1" hidden="1">
      <c r="A143" s="505" t="s">
        <v>140</v>
      </c>
      <c r="B143" s="428" t="s">
        <v>141</v>
      </c>
      <c r="C143" s="656">
        <f t="shared" si="51"/>
        <v>28</v>
      </c>
      <c r="D143" s="736">
        <v>17</v>
      </c>
      <c r="E143" s="661">
        <f t="shared" si="48"/>
        <v>0</v>
      </c>
      <c r="F143" s="687"/>
      <c r="G143" s="687">
        <v>0</v>
      </c>
      <c r="H143" s="687"/>
      <c r="I143" s="687">
        <v>11</v>
      </c>
      <c r="J143" s="687"/>
      <c r="K143" s="687"/>
      <c r="L143" s="687"/>
      <c r="M143" s="687"/>
      <c r="N143" s="686"/>
      <c r="O143" s="686"/>
    </row>
    <row r="144" spans="1:15" ht="15" hidden="1">
      <c r="A144" s="505" t="s">
        <v>142</v>
      </c>
      <c r="B144" s="428" t="s">
        <v>143</v>
      </c>
      <c r="C144" s="656">
        <f t="shared" si="51"/>
        <v>3</v>
      </c>
      <c r="D144" s="736">
        <v>3</v>
      </c>
      <c r="E144" s="661">
        <f t="shared" si="48"/>
        <v>0</v>
      </c>
      <c r="F144" s="685"/>
      <c r="G144" s="685"/>
      <c r="H144" s="685"/>
      <c r="I144" s="685"/>
      <c r="J144" s="685"/>
      <c r="K144" s="685"/>
      <c r="L144" s="685"/>
      <c r="M144" s="685"/>
      <c r="N144" s="686"/>
      <c r="O144" s="686"/>
    </row>
    <row r="145" spans="1:15" ht="15" hidden="1">
      <c r="A145" s="505" t="s">
        <v>144</v>
      </c>
      <c r="B145" s="428" t="s">
        <v>145</v>
      </c>
      <c r="C145" s="656">
        <f t="shared" si="51"/>
        <v>0</v>
      </c>
      <c r="D145" s="736"/>
      <c r="E145" s="661">
        <f t="shared" si="48"/>
        <v>0</v>
      </c>
      <c r="F145" s="687"/>
      <c r="G145" s="687"/>
      <c r="H145" s="687"/>
      <c r="I145" s="687"/>
      <c r="J145" s="687"/>
      <c r="K145" s="687"/>
      <c r="L145" s="687"/>
      <c r="M145" s="687"/>
      <c r="N145" s="686"/>
      <c r="O145" s="686"/>
    </row>
    <row r="146" spans="1:15" ht="25.5" hidden="1">
      <c r="A146" s="505" t="s">
        <v>146</v>
      </c>
      <c r="B146" s="430" t="s">
        <v>147</v>
      </c>
      <c r="C146" s="656">
        <f t="shared" si="51"/>
        <v>0</v>
      </c>
      <c r="D146" s="736"/>
      <c r="E146" s="661">
        <f>SUM(F146:G146)</f>
        <v>0</v>
      </c>
      <c r="F146" s="687"/>
      <c r="G146" s="687"/>
      <c r="H146" s="687"/>
      <c r="I146" s="687"/>
      <c r="J146" s="687"/>
      <c r="K146" s="687"/>
      <c r="L146" s="687"/>
      <c r="M146" s="687"/>
      <c r="N146" s="686"/>
      <c r="O146" s="686"/>
    </row>
    <row r="147" spans="1:15" ht="15" hidden="1">
      <c r="A147" s="505" t="s">
        <v>148</v>
      </c>
      <c r="B147" s="428" t="s">
        <v>149</v>
      </c>
      <c r="C147" s="656">
        <f t="shared" si="51"/>
        <v>0</v>
      </c>
      <c r="D147" s="736"/>
      <c r="E147" s="661">
        <f>SUM(F147:G147)</f>
        <v>0</v>
      </c>
      <c r="F147" s="685"/>
      <c r="G147" s="685"/>
      <c r="H147" s="685"/>
      <c r="I147" s="685"/>
      <c r="J147" s="685"/>
      <c r="K147" s="685"/>
      <c r="L147" s="685"/>
      <c r="M147" s="685"/>
      <c r="N147" s="686"/>
      <c r="O147" s="686"/>
    </row>
    <row r="148" spans="1:15" ht="15" hidden="1">
      <c r="A148" s="506" t="s">
        <v>52</v>
      </c>
      <c r="B148" s="394" t="s">
        <v>150</v>
      </c>
      <c r="C148" s="630">
        <f t="shared" si="51"/>
        <v>34</v>
      </c>
      <c r="D148" s="630">
        <f t="shared" si="51"/>
        <v>17</v>
      </c>
      <c r="E148" s="638">
        <f>SUM(F148:G148)</f>
        <v>9</v>
      </c>
      <c r="F148" s="630">
        <f>F139-F140</f>
        <v>0</v>
      </c>
      <c r="G148" s="630">
        <f>G139-G140</f>
        <v>9</v>
      </c>
      <c r="H148" s="630">
        <f>H139-H140</f>
        <v>0</v>
      </c>
      <c r="I148" s="630">
        <f aca="true" t="shared" si="52" ref="I148:N148">I139-I140</f>
        <v>8</v>
      </c>
      <c r="J148" s="630">
        <f t="shared" si="52"/>
        <v>0</v>
      </c>
      <c r="K148" s="630">
        <f t="shared" si="52"/>
        <v>0</v>
      </c>
      <c r="L148" s="630">
        <f t="shared" si="52"/>
        <v>0</v>
      </c>
      <c r="M148" s="630">
        <f t="shared" si="52"/>
        <v>0</v>
      </c>
      <c r="N148" s="630">
        <f t="shared" si="52"/>
        <v>0</v>
      </c>
      <c r="O148" s="630">
        <f>O134-O140</f>
        <v>0</v>
      </c>
    </row>
    <row r="149" spans="1:15" ht="25.5" hidden="1">
      <c r="A149" s="507" t="s">
        <v>538</v>
      </c>
      <c r="B149" s="431" t="s">
        <v>151</v>
      </c>
      <c r="C149" s="514">
        <f>(C141+C142)/C140</f>
        <v>0.2619047619047619</v>
      </c>
      <c r="D149" s="514">
        <f aca="true" t="shared" si="53" ref="D149:O149">(D141+D142)/D140</f>
        <v>0.25925925925925924</v>
      </c>
      <c r="E149" s="514" t="e">
        <f t="shared" si="53"/>
        <v>#DIV/0!</v>
      </c>
      <c r="F149" s="514" t="e">
        <f t="shared" si="53"/>
        <v>#DIV/0!</v>
      </c>
      <c r="G149" s="514" t="e">
        <f t="shared" si="53"/>
        <v>#DIV/0!</v>
      </c>
      <c r="H149" s="514" t="e">
        <f t="shared" si="53"/>
        <v>#DIV/0!</v>
      </c>
      <c r="I149" s="514">
        <f t="shared" si="53"/>
        <v>0.21428571428571427</v>
      </c>
      <c r="J149" s="514">
        <f t="shared" si="53"/>
        <v>1</v>
      </c>
      <c r="K149" s="514" t="e">
        <f t="shared" si="53"/>
        <v>#DIV/0!</v>
      </c>
      <c r="L149" s="514" t="e">
        <f t="shared" si="53"/>
        <v>#DIV/0!</v>
      </c>
      <c r="M149" s="514" t="e">
        <f t="shared" si="53"/>
        <v>#DIV/0!</v>
      </c>
      <c r="N149" s="514" t="e">
        <f t="shared" si="53"/>
        <v>#DIV/0!</v>
      </c>
      <c r="O149" s="514" t="e">
        <f t="shared" si="53"/>
        <v>#DIV/0!</v>
      </c>
    </row>
    <row r="150" ht="15" hidden="1"/>
    <row r="151" ht="15" hidden="1">
      <c r="B151" s="718" t="s">
        <v>699</v>
      </c>
    </row>
    <row r="152" spans="1:15" ht="0.75" customHeight="1" hidden="1">
      <c r="A152" s="1279" t="s">
        <v>68</v>
      </c>
      <c r="B152" s="1279"/>
      <c r="C152" s="1279" t="s">
        <v>37</v>
      </c>
      <c r="D152" s="1279" t="s">
        <v>335</v>
      </c>
      <c r="E152" s="1279"/>
      <c r="F152" s="1279"/>
      <c r="G152" s="1279"/>
      <c r="H152" s="1279"/>
      <c r="I152" s="1279"/>
      <c r="J152" s="1279"/>
      <c r="K152" s="1279"/>
      <c r="L152" s="1279"/>
      <c r="M152" s="1279"/>
      <c r="N152" s="1279"/>
      <c r="O152" s="1279"/>
    </row>
    <row r="153" spans="1:15" ht="15" hidden="1">
      <c r="A153" s="1279"/>
      <c r="B153" s="1279"/>
      <c r="C153" s="1279"/>
      <c r="D153" s="1304" t="s">
        <v>119</v>
      </c>
      <c r="E153" s="1302" t="s">
        <v>120</v>
      </c>
      <c r="F153" s="1302"/>
      <c r="G153" s="1302"/>
      <c r="H153" s="1302" t="s">
        <v>121</v>
      </c>
      <c r="I153" s="1302" t="s">
        <v>122</v>
      </c>
      <c r="J153" s="1302" t="s">
        <v>123</v>
      </c>
      <c r="K153" s="1302" t="s">
        <v>124</v>
      </c>
      <c r="L153" s="1302" t="s">
        <v>125</v>
      </c>
      <c r="M153" s="1302" t="s">
        <v>126</v>
      </c>
      <c r="N153" s="1302" t="s">
        <v>183</v>
      </c>
      <c r="O153" s="1302" t="s">
        <v>127</v>
      </c>
    </row>
    <row r="154" spans="1:15" ht="15" hidden="1">
      <c r="A154" s="1279"/>
      <c r="B154" s="1279"/>
      <c r="C154" s="1279"/>
      <c r="D154" s="1304"/>
      <c r="E154" s="1302" t="s">
        <v>36</v>
      </c>
      <c r="F154" s="1302" t="s">
        <v>7</v>
      </c>
      <c r="G154" s="1302"/>
      <c r="H154" s="1302"/>
      <c r="I154" s="1302"/>
      <c r="J154" s="1302"/>
      <c r="K154" s="1302"/>
      <c r="L154" s="1302"/>
      <c r="M154" s="1302"/>
      <c r="N154" s="1302"/>
      <c r="O154" s="1302"/>
    </row>
    <row r="155" spans="1:15" ht="30" hidden="1">
      <c r="A155" s="1279"/>
      <c r="B155" s="1279"/>
      <c r="C155" s="1279"/>
      <c r="D155" s="1304"/>
      <c r="E155" s="1302"/>
      <c r="F155" s="558" t="s">
        <v>128</v>
      </c>
      <c r="G155" s="558" t="s">
        <v>129</v>
      </c>
      <c r="H155" s="1302"/>
      <c r="I155" s="1302"/>
      <c r="J155" s="1302"/>
      <c r="K155" s="1302"/>
      <c r="L155" s="1302"/>
      <c r="M155" s="1302"/>
      <c r="N155" s="1302"/>
      <c r="O155" s="1302"/>
    </row>
    <row r="156" spans="1:15" ht="15" hidden="1">
      <c r="A156" s="1303" t="s">
        <v>39</v>
      </c>
      <c r="B156" s="1303"/>
      <c r="C156" s="515">
        <v>1</v>
      </c>
      <c r="D156" s="515">
        <v>2</v>
      </c>
      <c r="E156" s="515">
        <v>3</v>
      </c>
      <c r="F156" s="515">
        <v>4</v>
      </c>
      <c r="G156" s="515">
        <v>5</v>
      </c>
      <c r="H156" s="515">
        <v>6</v>
      </c>
      <c r="I156" s="515">
        <v>7</v>
      </c>
      <c r="J156" s="515">
        <v>8</v>
      </c>
      <c r="K156" s="515">
        <v>9</v>
      </c>
      <c r="L156" s="515">
        <v>10</v>
      </c>
      <c r="M156" s="515">
        <v>11</v>
      </c>
      <c r="N156" s="515">
        <v>12</v>
      </c>
      <c r="O156" s="515">
        <v>13</v>
      </c>
    </row>
    <row r="157" spans="1:15" ht="15" hidden="1">
      <c r="A157" s="506" t="s">
        <v>0</v>
      </c>
      <c r="B157" s="437" t="s">
        <v>130</v>
      </c>
      <c r="C157" s="630">
        <f aca="true" t="shared" si="54" ref="C157:C163">SUM(D157,E157,H157:O157)</f>
        <v>106</v>
      </c>
      <c r="D157" s="638">
        <f aca="true" t="shared" si="55" ref="D157:O157">SUM(D158:D159)</f>
        <v>47</v>
      </c>
      <c r="E157" s="638">
        <f t="shared" si="55"/>
        <v>26</v>
      </c>
      <c r="F157" s="638">
        <f t="shared" si="55"/>
        <v>0</v>
      </c>
      <c r="G157" s="638">
        <f t="shared" si="55"/>
        <v>26</v>
      </c>
      <c r="H157" s="638">
        <f t="shared" si="55"/>
        <v>0</v>
      </c>
      <c r="I157" s="638">
        <f t="shared" si="55"/>
        <v>32</v>
      </c>
      <c r="J157" s="638">
        <f t="shared" si="55"/>
        <v>1</v>
      </c>
      <c r="K157" s="638">
        <f t="shared" si="55"/>
        <v>0</v>
      </c>
      <c r="L157" s="638">
        <f t="shared" si="55"/>
        <v>0</v>
      </c>
      <c r="M157" s="638">
        <f t="shared" si="55"/>
        <v>0</v>
      </c>
      <c r="N157" s="638">
        <f t="shared" si="55"/>
        <v>0</v>
      </c>
      <c r="O157" s="638">
        <f t="shared" si="55"/>
        <v>0</v>
      </c>
    </row>
    <row r="158" spans="1:15" ht="15.75" hidden="1">
      <c r="A158" s="505">
        <v>1</v>
      </c>
      <c r="B158" s="428" t="s">
        <v>131</v>
      </c>
      <c r="C158" s="656">
        <f t="shared" si="54"/>
        <v>81</v>
      </c>
      <c r="D158" s="645">
        <f>3+8+14+11</f>
        <v>36</v>
      </c>
      <c r="E158" s="657">
        <f>F158+G158</f>
        <v>25</v>
      </c>
      <c r="F158" s="678">
        <f>0+0+0</f>
        <v>0</v>
      </c>
      <c r="G158" s="678">
        <f>6+7+4+8</f>
        <v>25</v>
      </c>
      <c r="H158" s="678"/>
      <c r="I158" s="678">
        <f>1+5+6+7</f>
        <v>19</v>
      </c>
      <c r="J158" s="678">
        <v>1</v>
      </c>
      <c r="K158" s="678"/>
      <c r="L158" s="678"/>
      <c r="M158" s="678"/>
      <c r="N158" s="678"/>
      <c r="O158" s="678"/>
    </row>
    <row r="159" spans="1:15" ht="15.75" hidden="1">
      <c r="A159" s="505">
        <v>2</v>
      </c>
      <c r="B159" s="428" t="s">
        <v>132</v>
      </c>
      <c r="C159" s="656">
        <f t="shared" si="54"/>
        <v>25</v>
      </c>
      <c r="D159" s="642">
        <f>0+2+4+5</f>
        <v>11</v>
      </c>
      <c r="E159" s="657">
        <f>F159+G159</f>
        <v>1</v>
      </c>
      <c r="F159" s="677"/>
      <c r="G159" s="677">
        <f>0+0+0+1</f>
        <v>1</v>
      </c>
      <c r="H159" s="677"/>
      <c r="I159" s="677">
        <f>0+5+4+4</f>
        <v>13</v>
      </c>
      <c r="J159" s="677"/>
      <c r="K159" s="677"/>
      <c r="L159" s="677"/>
      <c r="M159" s="677"/>
      <c r="N159" s="677"/>
      <c r="O159" s="677"/>
    </row>
    <row r="160" spans="1:15" ht="15.75" hidden="1">
      <c r="A160" s="506" t="s">
        <v>1</v>
      </c>
      <c r="B160" s="394" t="s">
        <v>133</v>
      </c>
      <c r="C160" s="656">
        <f t="shared" si="54"/>
        <v>0</v>
      </c>
      <c r="D160" s="738">
        <v>0</v>
      </c>
      <c r="E160" s="657">
        <f>F160+G160</f>
        <v>0</v>
      </c>
      <c r="F160" s="730"/>
      <c r="G160" s="677"/>
      <c r="H160" s="730"/>
      <c r="I160" s="730"/>
      <c r="J160" s="730"/>
      <c r="K160" s="730"/>
      <c r="L160" s="730"/>
      <c r="M160" s="730"/>
      <c r="N160" s="730"/>
      <c r="O160" s="730"/>
    </row>
    <row r="161" spans="1:15" ht="15" hidden="1">
      <c r="A161" s="506" t="s">
        <v>9</v>
      </c>
      <c r="B161" s="394" t="s">
        <v>134</v>
      </c>
      <c r="C161" s="656">
        <f t="shared" si="54"/>
        <v>0</v>
      </c>
      <c r="D161" s="655"/>
      <c r="E161" s="657"/>
      <c r="F161" s="655"/>
      <c r="G161" s="655"/>
      <c r="H161" s="655"/>
      <c r="I161" s="655"/>
      <c r="J161" s="655"/>
      <c r="K161" s="655"/>
      <c r="L161" s="655"/>
      <c r="M161" s="655"/>
      <c r="N161" s="655"/>
      <c r="O161" s="655"/>
    </row>
    <row r="162" spans="1:15" ht="15" hidden="1">
      <c r="A162" s="506" t="s">
        <v>135</v>
      </c>
      <c r="B162" s="394" t="s">
        <v>136</v>
      </c>
      <c r="C162" s="658">
        <f t="shared" si="54"/>
        <v>106</v>
      </c>
      <c r="D162" s="658">
        <f>D157-SUM(D160,D161)</f>
        <v>47</v>
      </c>
      <c r="E162" s="659">
        <f aca="true" t="shared" si="56" ref="E162:E171">SUM(F162:G162)</f>
        <v>26</v>
      </c>
      <c r="F162" s="658">
        <f aca="true" t="shared" si="57" ref="F162:O162">F157-SUM(F160,F161)</f>
        <v>0</v>
      </c>
      <c r="G162" s="658">
        <f t="shared" si="57"/>
        <v>26</v>
      </c>
      <c r="H162" s="658">
        <f t="shared" si="57"/>
        <v>0</v>
      </c>
      <c r="I162" s="658">
        <f t="shared" si="57"/>
        <v>32</v>
      </c>
      <c r="J162" s="658">
        <f t="shared" si="57"/>
        <v>1</v>
      </c>
      <c r="K162" s="658">
        <f t="shared" si="57"/>
        <v>0</v>
      </c>
      <c r="L162" s="658">
        <f t="shared" si="57"/>
        <v>0</v>
      </c>
      <c r="M162" s="658">
        <f t="shared" si="57"/>
        <v>0</v>
      </c>
      <c r="N162" s="658">
        <f t="shared" si="57"/>
        <v>0</v>
      </c>
      <c r="O162" s="658">
        <f t="shared" si="57"/>
        <v>0</v>
      </c>
    </row>
    <row r="163" spans="1:15" ht="20.25" customHeight="1" hidden="1">
      <c r="A163" s="506" t="s">
        <v>51</v>
      </c>
      <c r="B163" s="394" t="s">
        <v>137</v>
      </c>
      <c r="C163" s="658">
        <f t="shared" si="54"/>
        <v>50</v>
      </c>
      <c r="D163" s="660">
        <f>SUM(D164:D170)</f>
        <v>29</v>
      </c>
      <c r="E163" s="659">
        <f t="shared" si="56"/>
        <v>6</v>
      </c>
      <c r="F163" s="660">
        <f aca="true" t="shared" si="58" ref="F163:N163">SUM(F164:F170)</f>
        <v>0</v>
      </c>
      <c r="G163" s="660">
        <f t="shared" si="58"/>
        <v>6</v>
      </c>
      <c r="H163" s="660">
        <f t="shared" si="58"/>
        <v>0</v>
      </c>
      <c r="I163" s="660">
        <f t="shared" si="58"/>
        <v>15</v>
      </c>
      <c r="J163" s="660">
        <f t="shared" si="58"/>
        <v>0</v>
      </c>
      <c r="K163" s="660">
        <f t="shared" si="58"/>
        <v>0</v>
      </c>
      <c r="L163" s="660">
        <f t="shared" si="58"/>
        <v>0</v>
      </c>
      <c r="M163" s="660">
        <f t="shared" si="58"/>
        <v>0</v>
      </c>
      <c r="N163" s="660">
        <f t="shared" si="58"/>
        <v>0</v>
      </c>
      <c r="O163" s="660">
        <f>SUM(O164:O170)</f>
        <v>0</v>
      </c>
    </row>
    <row r="164" spans="1:15" ht="15.75" hidden="1">
      <c r="A164" s="505" t="s">
        <v>53</v>
      </c>
      <c r="B164" s="428" t="s">
        <v>138</v>
      </c>
      <c r="C164" s="656">
        <f aca="true" t="shared" si="59" ref="C164:C171">D164+E164+H164+I164+J164+K164+L164+M164+N164+O164</f>
        <v>13</v>
      </c>
      <c r="D164" s="641">
        <f>0+0+2+5</f>
        <v>7</v>
      </c>
      <c r="E164" s="661">
        <f t="shared" si="56"/>
        <v>3</v>
      </c>
      <c r="F164" s="679"/>
      <c r="G164" s="679">
        <f>0+0+1+2</f>
        <v>3</v>
      </c>
      <c r="H164" s="679"/>
      <c r="I164" s="679">
        <f>0+0+3+0</f>
        <v>3</v>
      </c>
      <c r="J164" s="679"/>
      <c r="K164" s="679"/>
      <c r="L164" s="679"/>
      <c r="M164" s="679"/>
      <c r="N164" s="679"/>
      <c r="O164" s="679"/>
    </row>
    <row r="165" spans="1:15" ht="15.75" hidden="1">
      <c r="A165" s="505" t="s">
        <v>54</v>
      </c>
      <c r="B165" s="428" t="s">
        <v>139</v>
      </c>
      <c r="C165" s="656">
        <f t="shared" si="59"/>
        <v>1</v>
      </c>
      <c r="D165" s="642">
        <v>1</v>
      </c>
      <c r="E165" s="661">
        <f t="shared" si="56"/>
        <v>0</v>
      </c>
      <c r="F165" s="677"/>
      <c r="G165" s="677"/>
      <c r="H165" s="677"/>
      <c r="I165" s="677"/>
      <c r="J165" s="677"/>
      <c r="K165" s="677"/>
      <c r="L165" s="677"/>
      <c r="M165" s="677"/>
      <c r="N165" s="677"/>
      <c r="O165" s="677"/>
    </row>
    <row r="166" spans="1:15" ht="15.75" hidden="1">
      <c r="A166" s="505" t="s">
        <v>140</v>
      </c>
      <c r="B166" s="428" t="s">
        <v>141</v>
      </c>
      <c r="C166" s="656">
        <f t="shared" si="59"/>
        <v>36</v>
      </c>
      <c r="D166" s="642">
        <f>0+7+8+6</f>
        <v>21</v>
      </c>
      <c r="E166" s="661">
        <f t="shared" si="56"/>
        <v>3</v>
      </c>
      <c r="F166" s="677"/>
      <c r="G166" s="677">
        <f>2+0+1+0</f>
        <v>3</v>
      </c>
      <c r="H166" s="677"/>
      <c r="I166" s="677">
        <f>0+4+4+4</f>
        <v>12</v>
      </c>
      <c r="J166" s="677">
        <v>0</v>
      </c>
      <c r="K166" s="677"/>
      <c r="L166" s="677"/>
      <c r="M166" s="677"/>
      <c r="N166" s="677"/>
      <c r="O166" s="677"/>
    </row>
    <row r="167" spans="1:15" ht="15.75" hidden="1">
      <c r="A167" s="505" t="s">
        <v>142</v>
      </c>
      <c r="B167" s="428" t="s">
        <v>143</v>
      </c>
      <c r="C167" s="656">
        <f t="shared" si="59"/>
        <v>0</v>
      </c>
      <c r="D167" s="642">
        <v>0</v>
      </c>
      <c r="E167" s="661">
        <f t="shared" si="56"/>
        <v>0</v>
      </c>
      <c r="F167" s="677"/>
      <c r="G167" s="677"/>
      <c r="H167" s="677"/>
      <c r="I167" s="677"/>
      <c r="J167" s="677"/>
      <c r="K167" s="677"/>
      <c r="L167" s="677"/>
      <c r="M167" s="677"/>
      <c r="N167" s="677"/>
      <c r="O167" s="677"/>
    </row>
    <row r="168" spans="1:15" ht="15.75" hidden="1">
      <c r="A168" s="505" t="s">
        <v>144</v>
      </c>
      <c r="B168" s="428" t="s">
        <v>145</v>
      </c>
      <c r="C168" s="656">
        <f t="shared" si="59"/>
        <v>0</v>
      </c>
      <c r="D168" s="642"/>
      <c r="E168" s="661">
        <f t="shared" si="56"/>
        <v>0</v>
      </c>
      <c r="F168" s="677"/>
      <c r="G168" s="677"/>
      <c r="H168" s="677"/>
      <c r="I168" s="677"/>
      <c r="J168" s="677"/>
      <c r="K168" s="677"/>
      <c r="L168" s="677"/>
      <c r="M168" s="677"/>
      <c r="N168" s="677"/>
      <c r="O168" s="677"/>
    </row>
    <row r="169" spans="1:15" ht="18.75" customHeight="1" hidden="1">
      <c r="A169" s="505" t="s">
        <v>146</v>
      </c>
      <c r="B169" s="430" t="s">
        <v>147</v>
      </c>
      <c r="C169" s="656">
        <f t="shared" si="59"/>
        <v>0</v>
      </c>
      <c r="D169" s="642"/>
      <c r="E169" s="661">
        <f t="shared" si="56"/>
        <v>0</v>
      </c>
      <c r="F169" s="677"/>
      <c r="G169" s="677"/>
      <c r="H169" s="677"/>
      <c r="I169" s="677"/>
      <c r="J169" s="677"/>
      <c r="K169" s="677"/>
      <c r="L169" s="677"/>
      <c r="M169" s="677"/>
      <c r="N169" s="677"/>
      <c r="O169" s="677"/>
    </row>
    <row r="170" spans="1:15" ht="15.75" hidden="1">
      <c r="A170" s="505" t="s">
        <v>148</v>
      </c>
      <c r="B170" s="428" t="s">
        <v>149</v>
      </c>
      <c r="C170" s="656">
        <f t="shared" si="59"/>
        <v>0</v>
      </c>
      <c r="D170" s="642">
        <f>0+0+0+0</f>
        <v>0</v>
      </c>
      <c r="E170" s="661">
        <f t="shared" si="56"/>
        <v>0</v>
      </c>
      <c r="F170" s="677"/>
      <c r="G170" s="677"/>
      <c r="H170" s="677"/>
      <c r="I170" s="677"/>
      <c r="J170" s="677"/>
      <c r="K170" s="677"/>
      <c r="L170" s="677"/>
      <c r="M170" s="677"/>
      <c r="N170" s="677"/>
      <c r="O170" s="677"/>
    </row>
    <row r="171" spans="1:15" ht="15" hidden="1">
      <c r="A171" s="506" t="s">
        <v>52</v>
      </c>
      <c r="B171" s="394" t="s">
        <v>150</v>
      </c>
      <c r="C171" s="630">
        <f t="shared" si="59"/>
        <v>56</v>
      </c>
      <c r="D171" s="630">
        <f>D162-D163</f>
        <v>18</v>
      </c>
      <c r="E171" s="638">
        <f t="shared" si="56"/>
        <v>20</v>
      </c>
      <c r="F171" s="630">
        <f>F162-F163</f>
        <v>0</v>
      </c>
      <c r="G171" s="630">
        <f>G162-G163</f>
        <v>20</v>
      </c>
      <c r="H171" s="630">
        <f>H162-H163</f>
        <v>0</v>
      </c>
      <c r="I171" s="630">
        <f aca="true" t="shared" si="60" ref="I171:N171">I162-I163</f>
        <v>17</v>
      </c>
      <c r="J171" s="630">
        <f t="shared" si="60"/>
        <v>1</v>
      </c>
      <c r="K171" s="630">
        <f t="shared" si="60"/>
        <v>0</v>
      </c>
      <c r="L171" s="630">
        <f t="shared" si="60"/>
        <v>0</v>
      </c>
      <c r="M171" s="630">
        <f t="shared" si="60"/>
        <v>0</v>
      </c>
      <c r="N171" s="630">
        <f t="shared" si="60"/>
        <v>0</v>
      </c>
      <c r="O171" s="630">
        <f>O157-O163</f>
        <v>0</v>
      </c>
    </row>
    <row r="172" spans="1:15" ht="25.5" hidden="1">
      <c r="A172" s="507" t="s">
        <v>538</v>
      </c>
      <c r="B172" s="431" t="s">
        <v>151</v>
      </c>
      <c r="C172" s="514">
        <f>(C164+C165)/C163</f>
        <v>0.28</v>
      </c>
      <c r="D172" s="514">
        <f aca="true" t="shared" si="61" ref="D172:O172">(D164+D165)/D163</f>
        <v>0.27586206896551724</v>
      </c>
      <c r="E172" s="514">
        <f t="shared" si="61"/>
        <v>0.5</v>
      </c>
      <c r="F172" s="514" t="e">
        <f t="shared" si="61"/>
        <v>#DIV/0!</v>
      </c>
      <c r="G172" s="514">
        <f t="shared" si="61"/>
        <v>0.5</v>
      </c>
      <c r="H172" s="514" t="e">
        <f t="shared" si="61"/>
        <v>#DIV/0!</v>
      </c>
      <c r="I172" s="514">
        <f t="shared" si="61"/>
        <v>0.2</v>
      </c>
      <c r="J172" s="514" t="e">
        <f t="shared" si="61"/>
        <v>#DIV/0!</v>
      </c>
      <c r="K172" s="514" t="e">
        <f t="shared" si="61"/>
        <v>#DIV/0!</v>
      </c>
      <c r="L172" s="514" t="e">
        <f t="shared" si="61"/>
        <v>#DIV/0!</v>
      </c>
      <c r="M172" s="514" t="e">
        <f t="shared" si="61"/>
        <v>#DIV/0!</v>
      </c>
      <c r="N172" s="514" t="e">
        <f t="shared" si="61"/>
        <v>#DIV/0!</v>
      </c>
      <c r="O172" s="514" t="e">
        <f t="shared" si="61"/>
        <v>#DIV/0!</v>
      </c>
    </row>
    <row r="173" ht="15" hidden="1"/>
    <row r="174" ht="15" hidden="1">
      <c r="B174" s="675" t="s">
        <v>694</v>
      </c>
    </row>
    <row r="175" spans="1:15" ht="15" customHeight="1" hidden="1">
      <c r="A175" s="1279" t="s">
        <v>68</v>
      </c>
      <c r="B175" s="1279"/>
      <c r="C175" s="1279" t="s">
        <v>37</v>
      </c>
      <c r="D175" s="1279" t="s">
        <v>335</v>
      </c>
      <c r="E175" s="1279"/>
      <c r="F175" s="1279"/>
      <c r="G175" s="1279"/>
      <c r="H175" s="1279"/>
      <c r="I175" s="1279"/>
      <c r="J175" s="1279"/>
      <c r="K175" s="1279"/>
      <c r="L175" s="1279"/>
      <c r="M175" s="1279"/>
      <c r="N175" s="1279"/>
      <c r="O175" s="1279"/>
    </row>
    <row r="176" spans="1:15" ht="15" customHeight="1" hidden="1">
      <c r="A176" s="1279"/>
      <c r="B176" s="1279"/>
      <c r="C176" s="1279"/>
      <c r="D176" s="1304" t="s">
        <v>119</v>
      </c>
      <c r="E176" s="1302" t="s">
        <v>120</v>
      </c>
      <c r="F176" s="1302"/>
      <c r="G176" s="1302"/>
      <c r="H176" s="1302" t="s">
        <v>121</v>
      </c>
      <c r="I176" s="1302" t="s">
        <v>122</v>
      </c>
      <c r="J176" s="1302" t="s">
        <v>123</v>
      </c>
      <c r="K176" s="1302" t="s">
        <v>124</v>
      </c>
      <c r="L176" s="1302" t="s">
        <v>125</v>
      </c>
      <c r="M176" s="1302" t="s">
        <v>126</v>
      </c>
      <c r="N176" s="1302" t="s">
        <v>183</v>
      </c>
      <c r="O176" s="1302" t="s">
        <v>127</v>
      </c>
    </row>
    <row r="177" spans="1:15" ht="15" hidden="1">
      <c r="A177" s="1279"/>
      <c r="B177" s="1279"/>
      <c r="C177" s="1279"/>
      <c r="D177" s="1304"/>
      <c r="E177" s="1302" t="s">
        <v>36</v>
      </c>
      <c r="F177" s="1302" t="s">
        <v>7</v>
      </c>
      <c r="G177" s="1302"/>
      <c r="H177" s="1302"/>
      <c r="I177" s="1302"/>
      <c r="J177" s="1302"/>
      <c r="K177" s="1302"/>
      <c r="L177" s="1302"/>
      <c r="M177" s="1302"/>
      <c r="N177" s="1302"/>
      <c r="O177" s="1302"/>
    </row>
    <row r="178" spans="1:15" ht="30" hidden="1">
      <c r="A178" s="1279"/>
      <c r="B178" s="1279"/>
      <c r="C178" s="1279"/>
      <c r="D178" s="1304"/>
      <c r="E178" s="1302"/>
      <c r="F178" s="558" t="s">
        <v>128</v>
      </c>
      <c r="G178" s="558" t="s">
        <v>129</v>
      </c>
      <c r="H178" s="1302"/>
      <c r="I178" s="1302"/>
      <c r="J178" s="1302"/>
      <c r="K178" s="1302"/>
      <c r="L178" s="1302"/>
      <c r="M178" s="1302"/>
      <c r="N178" s="1302"/>
      <c r="O178" s="1302"/>
    </row>
    <row r="179" spans="1:15" ht="15" hidden="1">
      <c r="A179" s="1303" t="s">
        <v>39</v>
      </c>
      <c r="B179" s="1303"/>
      <c r="C179" s="515">
        <v>1</v>
      </c>
      <c r="D179" s="515">
        <v>2</v>
      </c>
      <c r="E179" s="515">
        <v>3</v>
      </c>
      <c r="F179" s="515">
        <v>4</v>
      </c>
      <c r="G179" s="515">
        <v>5</v>
      </c>
      <c r="H179" s="515">
        <v>6</v>
      </c>
      <c r="I179" s="515">
        <v>7</v>
      </c>
      <c r="J179" s="515">
        <v>8</v>
      </c>
      <c r="K179" s="515">
        <v>9</v>
      </c>
      <c r="L179" s="515">
        <v>10</v>
      </c>
      <c r="M179" s="515">
        <v>11</v>
      </c>
      <c r="N179" s="515">
        <v>12</v>
      </c>
      <c r="O179" s="515">
        <v>13</v>
      </c>
    </row>
    <row r="180" spans="1:15" ht="15" hidden="1">
      <c r="A180" s="506" t="s">
        <v>0</v>
      </c>
      <c r="B180" s="437" t="s">
        <v>130</v>
      </c>
      <c r="C180" s="630">
        <f aca="true" t="shared" si="62" ref="C180:C186">SUM(D180,E180,H180:O180)</f>
        <v>30</v>
      </c>
      <c r="D180" s="638">
        <f aca="true" t="shared" si="63" ref="D180:O180">SUM(D181:D182)</f>
        <v>11</v>
      </c>
      <c r="E180" s="638">
        <f t="shared" si="63"/>
        <v>11</v>
      </c>
      <c r="F180" s="638">
        <f t="shared" si="63"/>
        <v>0</v>
      </c>
      <c r="G180" s="638">
        <f t="shared" si="63"/>
        <v>11</v>
      </c>
      <c r="H180" s="638">
        <f t="shared" si="63"/>
        <v>0</v>
      </c>
      <c r="I180" s="638">
        <f t="shared" si="63"/>
        <v>8</v>
      </c>
      <c r="J180" s="638">
        <f t="shared" si="63"/>
        <v>0</v>
      </c>
      <c r="K180" s="638">
        <f t="shared" si="63"/>
        <v>0</v>
      </c>
      <c r="L180" s="638">
        <f t="shared" si="63"/>
        <v>0</v>
      </c>
      <c r="M180" s="638">
        <f t="shared" si="63"/>
        <v>0</v>
      </c>
      <c r="N180" s="638">
        <f t="shared" si="63"/>
        <v>0</v>
      </c>
      <c r="O180" s="638">
        <f t="shared" si="63"/>
        <v>0</v>
      </c>
    </row>
    <row r="181" spans="1:15" ht="15.75" hidden="1">
      <c r="A181" s="505">
        <v>1</v>
      </c>
      <c r="B181" s="428" t="s">
        <v>131</v>
      </c>
      <c r="C181" s="656">
        <f t="shared" si="62"/>
        <v>25</v>
      </c>
      <c r="D181" s="682">
        <v>9</v>
      </c>
      <c r="E181" s="657">
        <f>F181+G181</f>
        <v>10</v>
      </c>
      <c r="F181" s="683"/>
      <c r="G181" s="683">
        <v>10</v>
      </c>
      <c r="H181" s="683"/>
      <c r="I181" s="683">
        <v>6</v>
      </c>
      <c r="J181" s="683"/>
      <c r="K181" s="683"/>
      <c r="L181" s="678"/>
      <c r="M181" s="678"/>
      <c r="N181" s="678"/>
      <c r="O181" s="678"/>
    </row>
    <row r="182" spans="1:15" ht="0.75" customHeight="1" hidden="1">
      <c r="A182" s="505">
        <v>2</v>
      </c>
      <c r="B182" s="428" t="s">
        <v>132</v>
      </c>
      <c r="C182" s="656">
        <f t="shared" si="62"/>
        <v>5</v>
      </c>
      <c r="D182" s="642">
        <v>2</v>
      </c>
      <c r="E182" s="657">
        <f>F182+G182</f>
        <v>1</v>
      </c>
      <c r="F182" s="677"/>
      <c r="G182" s="677">
        <v>1</v>
      </c>
      <c r="H182" s="677"/>
      <c r="I182" s="677">
        <v>2</v>
      </c>
      <c r="J182" s="677"/>
      <c r="K182" s="677"/>
      <c r="L182" s="677"/>
      <c r="M182" s="677"/>
      <c r="N182" s="677"/>
      <c r="O182" s="677"/>
    </row>
    <row r="183" spans="1:15" ht="15.75" hidden="1">
      <c r="A183" s="506" t="s">
        <v>1</v>
      </c>
      <c r="B183" s="394" t="s">
        <v>133</v>
      </c>
      <c r="C183" s="656">
        <f t="shared" si="62"/>
        <v>0</v>
      </c>
      <c r="D183" s="738"/>
      <c r="E183" s="657">
        <f>F183+G183</f>
        <v>0</v>
      </c>
      <c r="F183" s="730"/>
      <c r="G183" s="677"/>
      <c r="H183" s="730"/>
      <c r="I183" s="730"/>
      <c r="J183" s="730"/>
      <c r="K183" s="730"/>
      <c r="L183" s="730"/>
      <c r="M183" s="730"/>
      <c r="N183" s="730"/>
      <c r="O183" s="730"/>
    </row>
    <row r="184" spans="1:15" ht="15" hidden="1">
      <c r="A184" s="506" t="s">
        <v>9</v>
      </c>
      <c r="B184" s="394" t="s">
        <v>134</v>
      </c>
      <c r="C184" s="656">
        <f t="shared" si="62"/>
        <v>0</v>
      </c>
      <c r="D184" s="655"/>
      <c r="E184" s="657"/>
      <c r="F184" s="655"/>
      <c r="G184" s="655"/>
      <c r="H184" s="655"/>
      <c r="I184" s="655"/>
      <c r="J184" s="655"/>
      <c r="K184" s="655"/>
      <c r="L184" s="655"/>
      <c r="M184" s="655"/>
      <c r="N184" s="655"/>
      <c r="O184" s="655"/>
    </row>
    <row r="185" spans="1:15" ht="15" hidden="1">
      <c r="A185" s="506" t="s">
        <v>135</v>
      </c>
      <c r="B185" s="394" t="s">
        <v>136</v>
      </c>
      <c r="C185" s="658">
        <f t="shared" si="62"/>
        <v>30</v>
      </c>
      <c r="D185" s="658">
        <f>D180-SUM(D183,D184)</f>
        <v>11</v>
      </c>
      <c r="E185" s="659">
        <f aca="true" t="shared" si="64" ref="E185:E194">SUM(F185:G185)</f>
        <v>11</v>
      </c>
      <c r="F185" s="658">
        <f aca="true" t="shared" si="65" ref="F185:O185">F180-SUM(F183,F184)</f>
        <v>0</v>
      </c>
      <c r="G185" s="658">
        <f t="shared" si="65"/>
        <v>11</v>
      </c>
      <c r="H185" s="658">
        <f t="shared" si="65"/>
        <v>0</v>
      </c>
      <c r="I185" s="658">
        <f t="shared" si="65"/>
        <v>8</v>
      </c>
      <c r="J185" s="658">
        <f t="shared" si="65"/>
        <v>0</v>
      </c>
      <c r="K185" s="658">
        <f t="shared" si="65"/>
        <v>0</v>
      </c>
      <c r="L185" s="658">
        <f t="shared" si="65"/>
        <v>0</v>
      </c>
      <c r="M185" s="658">
        <f t="shared" si="65"/>
        <v>0</v>
      </c>
      <c r="N185" s="658">
        <f t="shared" si="65"/>
        <v>0</v>
      </c>
      <c r="O185" s="658">
        <f t="shared" si="65"/>
        <v>0</v>
      </c>
    </row>
    <row r="186" spans="1:15" ht="15" hidden="1">
      <c r="A186" s="506" t="s">
        <v>51</v>
      </c>
      <c r="B186" s="394" t="s">
        <v>137</v>
      </c>
      <c r="C186" s="658">
        <f t="shared" si="62"/>
        <v>12</v>
      </c>
      <c r="D186" s="660">
        <f>SUM(D187:D193)</f>
        <v>6</v>
      </c>
      <c r="E186" s="659">
        <f t="shared" si="64"/>
        <v>1</v>
      </c>
      <c r="F186" s="660">
        <f aca="true" t="shared" si="66" ref="F186:N186">SUM(F187:F193)</f>
        <v>0</v>
      </c>
      <c r="G186" s="660">
        <f t="shared" si="66"/>
        <v>1</v>
      </c>
      <c r="H186" s="660">
        <f t="shared" si="66"/>
        <v>0</v>
      </c>
      <c r="I186" s="660">
        <f t="shared" si="66"/>
        <v>5</v>
      </c>
      <c r="J186" s="660">
        <f t="shared" si="66"/>
        <v>0</v>
      </c>
      <c r="K186" s="660">
        <f t="shared" si="66"/>
        <v>0</v>
      </c>
      <c r="L186" s="660">
        <f t="shared" si="66"/>
        <v>0</v>
      </c>
      <c r="M186" s="660">
        <f t="shared" si="66"/>
        <v>0</v>
      </c>
      <c r="N186" s="660">
        <f t="shared" si="66"/>
        <v>0</v>
      </c>
      <c r="O186" s="660">
        <f>SUM(O187:O193)</f>
        <v>0</v>
      </c>
    </row>
    <row r="187" spans="1:15" ht="15.75" hidden="1">
      <c r="A187" s="505" t="s">
        <v>53</v>
      </c>
      <c r="B187" s="428" t="s">
        <v>138</v>
      </c>
      <c r="C187" s="656">
        <f aca="true" t="shared" si="67" ref="C187:C194">D187+E187+H187+I187+J187+K187+L187+M187+N187+O187</f>
        <v>0</v>
      </c>
      <c r="D187" s="641">
        <v>0</v>
      </c>
      <c r="E187" s="661">
        <f t="shared" si="64"/>
        <v>0</v>
      </c>
      <c r="F187" s="679"/>
      <c r="G187" s="679">
        <v>0</v>
      </c>
      <c r="H187" s="679"/>
      <c r="I187" s="679">
        <v>0</v>
      </c>
      <c r="J187" s="679"/>
      <c r="K187" s="679"/>
      <c r="L187" s="679"/>
      <c r="M187" s="679"/>
      <c r="N187" s="679"/>
      <c r="O187" s="679"/>
    </row>
    <row r="188" spans="1:15" ht="15.75" hidden="1">
      <c r="A188" s="505" t="s">
        <v>54</v>
      </c>
      <c r="B188" s="428" t="s">
        <v>139</v>
      </c>
      <c r="C188" s="656">
        <f t="shared" si="67"/>
        <v>0</v>
      </c>
      <c r="D188" s="642">
        <v>0</v>
      </c>
      <c r="E188" s="661">
        <f t="shared" si="64"/>
        <v>0</v>
      </c>
      <c r="F188" s="677"/>
      <c r="G188" s="677"/>
      <c r="H188" s="677"/>
      <c r="I188" s="677"/>
      <c r="J188" s="677"/>
      <c r="K188" s="677"/>
      <c r="L188" s="677"/>
      <c r="M188" s="677"/>
      <c r="N188" s="677"/>
      <c r="O188" s="677"/>
    </row>
    <row r="189" spans="1:15" ht="15" customHeight="1" hidden="1">
      <c r="A189" s="505" t="s">
        <v>140</v>
      </c>
      <c r="B189" s="428" t="s">
        <v>141</v>
      </c>
      <c r="C189" s="656">
        <f t="shared" si="67"/>
        <v>12</v>
      </c>
      <c r="D189" s="642">
        <v>6</v>
      </c>
      <c r="E189" s="661">
        <f t="shared" si="64"/>
        <v>1</v>
      </c>
      <c r="F189" s="677"/>
      <c r="G189" s="677">
        <v>1</v>
      </c>
      <c r="H189" s="677"/>
      <c r="I189" s="677">
        <v>5</v>
      </c>
      <c r="J189" s="677"/>
      <c r="K189" s="677"/>
      <c r="L189" s="677"/>
      <c r="M189" s="677"/>
      <c r="N189" s="677"/>
      <c r="O189" s="677"/>
    </row>
    <row r="190" spans="1:15" ht="15.75" hidden="1">
      <c r="A190" s="505" t="s">
        <v>142</v>
      </c>
      <c r="B190" s="428" t="s">
        <v>143</v>
      </c>
      <c r="C190" s="656">
        <f t="shared" si="67"/>
        <v>0</v>
      </c>
      <c r="D190" s="642"/>
      <c r="E190" s="661">
        <f t="shared" si="64"/>
        <v>0</v>
      </c>
      <c r="F190" s="677"/>
      <c r="G190" s="677"/>
      <c r="H190" s="677"/>
      <c r="I190" s="677"/>
      <c r="J190" s="677"/>
      <c r="K190" s="677"/>
      <c r="L190" s="677"/>
      <c r="M190" s="677"/>
      <c r="N190" s="677"/>
      <c r="O190" s="677"/>
    </row>
    <row r="191" spans="1:15" ht="15.75" hidden="1">
      <c r="A191" s="505" t="s">
        <v>144</v>
      </c>
      <c r="B191" s="428" t="s">
        <v>145</v>
      </c>
      <c r="C191" s="656">
        <f t="shared" si="67"/>
        <v>0</v>
      </c>
      <c r="D191" s="642"/>
      <c r="E191" s="661">
        <f t="shared" si="64"/>
        <v>0</v>
      </c>
      <c r="F191" s="677"/>
      <c r="G191" s="677"/>
      <c r="H191" s="677"/>
      <c r="I191" s="677"/>
      <c r="J191" s="677"/>
      <c r="K191" s="677"/>
      <c r="L191" s="677"/>
      <c r="M191" s="677"/>
      <c r="N191" s="677"/>
      <c r="O191" s="677"/>
    </row>
    <row r="192" spans="1:15" ht="25.5" hidden="1">
      <c r="A192" s="505" t="s">
        <v>146</v>
      </c>
      <c r="B192" s="430" t="s">
        <v>147</v>
      </c>
      <c r="C192" s="656">
        <f t="shared" si="67"/>
        <v>0</v>
      </c>
      <c r="D192" s="642"/>
      <c r="E192" s="661">
        <f t="shared" si="64"/>
        <v>0</v>
      </c>
      <c r="F192" s="677"/>
      <c r="G192" s="677"/>
      <c r="H192" s="677"/>
      <c r="I192" s="677"/>
      <c r="J192" s="677"/>
      <c r="K192" s="677"/>
      <c r="L192" s="677"/>
      <c r="M192" s="677"/>
      <c r="N192" s="677"/>
      <c r="O192" s="677"/>
    </row>
    <row r="193" spans="1:15" ht="15.75" hidden="1">
      <c r="A193" s="505" t="s">
        <v>148</v>
      </c>
      <c r="B193" s="428" t="s">
        <v>149</v>
      </c>
      <c r="C193" s="656">
        <f t="shared" si="67"/>
        <v>0</v>
      </c>
      <c r="D193" s="642">
        <f>0+0+0+0</f>
        <v>0</v>
      </c>
      <c r="E193" s="661">
        <f t="shared" si="64"/>
        <v>0</v>
      </c>
      <c r="F193" s="677"/>
      <c r="G193" s="677"/>
      <c r="H193" s="677"/>
      <c r="I193" s="677"/>
      <c r="J193" s="677"/>
      <c r="K193" s="677"/>
      <c r="L193" s="677"/>
      <c r="M193" s="677"/>
      <c r="N193" s="677"/>
      <c r="O193" s="677"/>
    </row>
    <row r="194" spans="1:15" ht="15" hidden="1">
      <c r="A194" s="506" t="s">
        <v>52</v>
      </c>
      <c r="B194" s="394" t="s">
        <v>150</v>
      </c>
      <c r="C194" s="630">
        <f t="shared" si="67"/>
        <v>18</v>
      </c>
      <c r="D194" s="630">
        <f>D185-D186</f>
        <v>5</v>
      </c>
      <c r="E194" s="638">
        <f t="shared" si="64"/>
        <v>10</v>
      </c>
      <c r="F194" s="630">
        <f>F185-F186</f>
        <v>0</v>
      </c>
      <c r="G194" s="630">
        <f>G185-G186</f>
        <v>10</v>
      </c>
      <c r="H194" s="630">
        <f>H185-H186</f>
        <v>0</v>
      </c>
      <c r="I194" s="630">
        <f aca="true" t="shared" si="68" ref="I194:N194">I185-I186</f>
        <v>3</v>
      </c>
      <c r="J194" s="630">
        <f t="shared" si="68"/>
        <v>0</v>
      </c>
      <c r="K194" s="630">
        <f t="shared" si="68"/>
        <v>0</v>
      </c>
      <c r="L194" s="630">
        <f t="shared" si="68"/>
        <v>0</v>
      </c>
      <c r="M194" s="630">
        <f t="shared" si="68"/>
        <v>0</v>
      </c>
      <c r="N194" s="630">
        <f t="shared" si="68"/>
        <v>0</v>
      </c>
      <c r="O194" s="630">
        <f>O180-O186</f>
        <v>0</v>
      </c>
    </row>
    <row r="195" spans="1:15" ht="25.5" hidden="1">
      <c r="A195" s="507" t="s">
        <v>538</v>
      </c>
      <c r="B195" s="431" t="s">
        <v>151</v>
      </c>
      <c r="C195" s="514">
        <f>(C187+C188)/C186</f>
        <v>0</v>
      </c>
      <c r="D195" s="514">
        <f aca="true" t="shared" si="69" ref="D195:O195">(D187+D188)/D186</f>
        <v>0</v>
      </c>
      <c r="E195" s="514">
        <f t="shared" si="69"/>
        <v>0</v>
      </c>
      <c r="F195" s="514" t="e">
        <f t="shared" si="69"/>
        <v>#DIV/0!</v>
      </c>
      <c r="G195" s="514">
        <f t="shared" si="69"/>
        <v>0</v>
      </c>
      <c r="H195" s="514" t="e">
        <f t="shared" si="69"/>
        <v>#DIV/0!</v>
      </c>
      <c r="I195" s="514">
        <f t="shared" si="69"/>
        <v>0</v>
      </c>
      <c r="J195" s="514" t="e">
        <f t="shared" si="69"/>
        <v>#DIV/0!</v>
      </c>
      <c r="K195" s="514" t="e">
        <f t="shared" si="69"/>
        <v>#DIV/0!</v>
      </c>
      <c r="L195" s="514" t="e">
        <f t="shared" si="69"/>
        <v>#DIV/0!</v>
      </c>
      <c r="M195" s="514" t="e">
        <f t="shared" si="69"/>
        <v>#DIV/0!</v>
      </c>
      <c r="N195" s="514" t="e">
        <f t="shared" si="69"/>
        <v>#DIV/0!</v>
      </c>
      <c r="O195" s="514" t="e">
        <f t="shared" si="69"/>
        <v>#DIV/0!</v>
      </c>
    </row>
    <row r="196" ht="15" hidden="1"/>
    <row r="197" ht="15" hidden="1">
      <c r="B197" s="388" t="s">
        <v>695</v>
      </c>
    </row>
    <row r="198" ht="15" hidden="1"/>
    <row r="199" spans="1:15" ht="15" hidden="1">
      <c r="A199" s="1279" t="s">
        <v>68</v>
      </c>
      <c r="B199" s="1279"/>
      <c r="C199" s="1279" t="s">
        <v>37</v>
      </c>
      <c r="D199" s="1279" t="s">
        <v>335</v>
      </c>
      <c r="E199" s="1279"/>
      <c r="F199" s="1279"/>
      <c r="G199" s="1279"/>
      <c r="H199" s="1279"/>
      <c r="I199" s="1279"/>
      <c r="J199" s="1279"/>
      <c r="K199" s="1279"/>
      <c r="L199" s="1279"/>
      <c r="M199" s="1279"/>
      <c r="N199" s="1279"/>
      <c r="O199" s="1279"/>
    </row>
    <row r="200" spans="1:15" ht="15" hidden="1">
      <c r="A200" s="1279"/>
      <c r="B200" s="1279"/>
      <c r="C200" s="1279"/>
      <c r="D200" s="1304" t="s">
        <v>119</v>
      </c>
      <c r="E200" s="1302" t="s">
        <v>120</v>
      </c>
      <c r="F200" s="1302"/>
      <c r="G200" s="1302"/>
      <c r="H200" s="1302" t="s">
        <v>121</v>
      </c>
      <c r="I200" s="1302" t="s">
        <v>122</v>
      </c>
      <c r="J200" s="1302" t="s">
        <v>123</v>
      </c>
      <c r="K200" s="1302" t="s">
        <v>124</v>
      </c>
      <c r="L200" s="1302" t="s">
        <v>125</v>
      </c>
      <c r="M200" s="1302" t="s">
        <v>126</v>
      </c>
      <c r="N200" s="1302" t="s">
        <v>183</v>
      </c>
      <c r="O200" s="1302" t="s">
        <v>127</v>
      </c>
    </row>
    <row r="201" spans="1:15" ht="15" hidden="1">
      <c r="A201" s="1279"/>
      <c r="B201" s="1279"/>
      <c r="C201" s="1279"/>
      <c r="D201" s="1304"/>
      <c r="E201" s="1302" t="s">
        <v>36</v>
      </c>
      <c r="F201" s="1302" t="s">
        <v>7</v>
      </c>
      <c r="G201" s="1302"/>
      <c r="H201" s="1302"/>
      <c r="I201" s="1302"/>
      <c r="J201" s="1302"/>
      <c r="K201" s="1302"/>
      <c r="L201" s="1302"/>
      <c r="M201" s="1302"/>
      <c r="N201" s="1302"/>
      <c r="O201" s="1302"/>
    </row>
    <row r="202" spans="1:15" ht="18" customHeight="1" hidden="1">
      <c r="A202" s="1279"/>
      <c r="B202" s="1279"/>
      <c r="C202" s="1279"/>
      <c r="D202" s="1304"/>
      <c r="E202" s="1302"/>
      <c r="F202" s="558" t="s">
        <v>128</v>
      </c>
      <c r="G202" s="558" t="s">
        <v>129</v>
      </c>
      <c r="H202" s="1302"/>
      <c r="I202" s="1302"/>
      <c r="J202" s="1302"/>
      <c r="K202" s="1302"/>
      <c r="L202" s="1302"/>
      <c r="M202" s="1302"/>
      <c r="N202" s="1302"/>
      <c r="O202" s="1302"/>
    </row>
    <row r="203" spans="1:15" ht="0.75" customHeight="1" hidden="1">
      <c r="A203" s="1303" t="s">
        <v>39</v>
      </c>
      <c r="B203" s="1303"/>
      <c r="C203" s="515">
        <v>1</v>
      </c>
      <c r="D203" s="515">
        <v>2</v>
      </c>
      <c r="E203" s="515">
        <v>3</v>
      </c>
      <c r="F203" s="515">
        <v>4</v>
      </c>
      <c r="G203" s="515">
        <v>5</v>
      </c>
      <c r="H203" s="515">
        <v>6</v>
      </c>
      <c r="I203" s="515">
        <v>7</v>
      </c>
      <c r="J203" s="515">
        <v>8</v>
      </c>
      <c r="K203" s="515">
        <v>9</v>
      </c>
      <c r="L203" s="515">
        <v>10</v>
      </c>
      <c r="M203" s="515">
        <v>11</v>
      </c>
      <c r="N203" s="515">
        <v>12</v>
      </c>
      <c r="O203" s="515">
        <v>13</v>
      </c>
    </row>
    <row r="204" spans="1:15" ht="15" hidden="1">
      <c r="A204" s="506" t="s">
        <v>0</v>
      </c>
      <c r="B204" s="437" t="s">
        <v>130</v>
      </c>
      <c r="C204" s="630">
        <f aca="true" t="shared" si="70" ref="C204:C210">SUM(D204,E204,H204:O204)</f>
        <v>42</v>
      </c>
      <c r="D204" s="638">
        <f aca="true" t="shared" si="71" ref="D204:O204">SUM(D205:D206)</f>
        <v>28</v>
      </c>
      <c r="E204" s="638">
        <f t="shared" si="71"/>
        <v>4</v>
      </c>
      <c r="F204" s="638">
        <f t="shared" si="71"/>
        <v>0</v>
      </c>
      <c r="G204" s="638">
        <f t="shared" si="71"/>
        <v>4</v>
      </c>
      <c r="H204" s="638">
        <f t="shared" si="71"/>
        <v>0</v>
      </c>
      <c r="I204" s="638">
        <f t="shared" si="71"/>
        <v>10</v>
      </c>
      <c r="J204" s="638">
        <f t="shared" si="71"/>
        <v>0</v>
      </c>
      <c r="K204" s="638">
        <f t="shared" si="71"/>
        <v>0</v>
      </c>
      <c r="L204" s="638">
        <f t="shared" si="71"/>
        <v>0</v>
      </c>
      <c r="M204" s="638">
        <f t="shared" si="71"/>
        <v>0</v>
      </c>
      <c r="N204" s="638">
        <f t="shared" si="71"/>
        <v>0</v>
      </c>
      <c r="O204" s="638">
        <f t="shared" si="71"/>
        <v>0</v>
      </c>
    </row>
    <row r="205" spans="1:15" ht="15.75" hidden="1">
      <c r="A205" s="505">
        <v>1</v>
      </c>
      <c r="B205" s="428" t="s">
        <v>131</v>
      </c>
      <c r="C205" s="656">
        <f t="shared" si="70"/>
        <v>21</v>
      </c>
      <c r="D205" s="772">
        <v>13</v>
      </c>
      <c r="E205" s="657">
        <f>F205+G205</f>
        <v>3</v>
      </c>
      <c r="F205" s="772">
        <v>0</v>
      </c>
      <c r="G205" s="772">
        <v>3</v>
      </c>
      <c r="H205" s="772">
        <v>0</v>
      </c>
      <c r="I205" s="772">
        <v>5</v>
      </c>
      <c r="J205" s="772">
        <v>0</v>
      </c>
      <c r="K205" s="772">
        <v>0</v>
      </c>
      <c r="L205" s="772">
        <v>0</v>
      </c>
      <c r="M205" s="751"/>
      <c r="N205" s="695"/>
      <c r="O205" s="695"/>
    </row>
    <row r="206" spans="1:15" ht="13.5" customHeight="1" hidden="1">
      <c r="A206" s="505">
        <v>2</v>
      </c>
      <c r="B206" s="428" t="s">
        <v>132</v>
      </c>
      <c r="C206" s="656">
        <f t="shared" si="70"/>
        <v>21</v>
      </c>
      <c r="D206" s="689">
        <v>15</v>
      </c>
      <c r="E206" s="657">
        <f>F206+G206</f>
        <v>1</v>
      </c>
      <c r="F206" s="737">
        <v>0</v>
      </c>
      <c r="G206" s="689">
        <v>1</v>
      </c>
      <c r="H206" s="689">
        <v>0</v>
      </c>
      <c r="I206" s="689">
        <v>5</v>
      </c>
      <c r="J206" s="688">
        <v>0</v>
      </c>
      <c r="K206" s="688">
        <v>0</v>
      </c>
      <c r="L206" s="688">
        <v>0</v>
      </c>
      <c r="M206" s="688"/>
      <c r="N206" s="688"/>
      <c r="O206" s="688"/>
    </row>
    <row r="207" spans="1:15" ht="15.75" hidden="1">
      <c r="A207" s="506" t="s">
        <v>1</v>
      </c>
      <c r="B207" s="394" t="s">
        <v>133</v>
      </c>
      <c r="C207" s="656">
        <f t="shared" si="70"/>
        <v>0</v>
      </c>
      <c r="D207" s="688">
        <v>0</v>
      </c>
      <c r="E207" s="657">
        <f>F207+G207</f>
        <v>0</v>
      </c>
      <c r="F207" s="696">
        <v>0</v>
      </c>
      <c r="G207" s="688">
        <v>0</v>
      </c>
      <c r="H207" s="688">
        <v>0</v>
      </c>
      <c r="I207" s="688"/>
      <c r="J207" s="688">
        <v>0</v>
      </c>
      <c r="K207" s="688">
        <v>0</v>
      </c>
      <c r="L207" s="688">
        <v>0</v>
      </c>
      <c r="M207" s="688"/>
      <c r="N207" s="688"/>
      <c r="O207" s="688"/>
    </row>
    <row r="208" spans="1:15" ht="17.25" customHeight="1" hidden="1">
      <c r="A208" s="506" t="s">
        <v>9</v>
      </c>
      <c r="B208" s="394" t="s">
        <v>134</v>
      </c>
      <c r="C208" s="656">
        <f t="shared" si="70"/>
        <v>0</v>
      </c>
      <c r="D208" s="688"/>
      <c r="E208" s="657"/>
      <c r="F208" s="696"/>
      <c r="G208" s="688"/>
      <c r="H208" s="688"/>
      <c r="I208" s="688"/>
      <c r="J208" s="688"/>
      <c r="K208" s="688"/>
      <c r="L208" s="688"/>
      <c r="M208" s="688"/>
      <c r="N208" s="688"/>
      <c r="O208" s="688"/>
    </row>
    <row r="209" spans="1:15" ht="15" hidden="1">
      <c r="A209" s="506" t="s">
        <v>135</v>
      </c>
      <c r="B209" s="394" t="s">
        <v>136</v>
      </c>
      <c r="C209" s="658">
        <f t="shared" si="70"/>
        <v>42</v>
      </c>
      <c r="D209" s="658">
        <f>D204-SUM(D207,D208)</f>
        <v>28</v>
      </c>
      <c r="E209" s="659">
        <f aca="true" t="shared" si="72" ref="E209:E215">SUM(F209:G209)</f>
        <v>4</v>
      </c>
      <c r="F209" s="658">
        <f aca="true" t="shared" si="73" ref="F209:O209">F204-SUM(F207,F208)</f>
        <v>0</v>
      </c>
      <c r="G209" s="658">
        <f t="shared" si="73"/>
        <v>4</v>
      </c>
      <c r="H209" s="658">
        <f t="shared" si="73"/>
        <v>0</v>
      </c>
      <c r="I209" s="658">
        <f>I204-SUM(I207,I208)</f>
        <v>10</v>
      </c>
      <c r="J209" s="658">
        <f t="shared" si="73"/>
        <v>0</v>
      </c>
      <c r="K209" s="658">
        <f t="shared" si="73"/>
        <v>0</v>
      </c>
      <c r="L209" s="658">
        <f t="shared" si="73"/>
        <v>0</v>
      </c>
      <c r="M209" s="658">
        <f t="shared" si="73"/>
        <v>0</v>
      </c>
      <c r="N209" s="658">
        <f t="shared" si="73"/>
        <v>0</v>
      </c>
      <c r="O209" s="658">
        <f t="shared" si="73"/>
        <v>0</v>
      </c>
    </row>
    <row r="210" spans="1:15" ht="15" hidden="1">
      <c r="A210" s="506" t="s">
        <v>51</v>
      </c>
      <c r="B210" s="394" t="s">
        <v>137</v>
      </c>
      <c r="C210" s="658">
        <f t="shared" si="70"/>
        <v>25</v>
      </c>
      <c r="D210" s="660">
        <f>SUM(D211:D217)</f>
        <v>19</v>
      </c>
      <c r="E210" s="659">
        <f t="shared" si="72"/>
        <v>1</v>
      </c>
      <c r="F210" s="660">
        <f aca="true" t="shared" si="74" ref="F210:N210">SUM(F211:F217)</f>
        <v>0</v>
      </c>
      <c r="G210" s="660">
        <f t="shared" si="74"/>
        <v>1</v>
      </c>
      <c r="H210" s="660">
        <f t="shared" si="74"/>
        <v>0</v>
      </c>
      <c r="I210" s="660">
        <f t="shared" si="74"/>
        <v>5</v>
      </c>
      <c r="J210" s="660">
        <f t="shared" si="74"/>
        <v>0</v>
      </c>
      <c r="K210" s="660">
        <f t="shared" si="74"/>
        <v>0</v>
      </c>
      <c r="L210" s="660">
        <f t="shared" si="74"/>
        <v>0</v>
      </c>
      <c r="M210" s="660">
        <f t="shared" si="74"/>
        <v>0</v>
      </c>
      <c r="N210" s="660">
        <f t="shared" si="74"/>
        <v>0</v>
      </c>
      <c r="O210" s="660">
        <f>SUM(O211:O217)</f>
        <v>0</v>
      </c>
    </row>
    <row r="211" spans="1:15" ht="15.75" hidden="1">
      <c r="A211" s="505" t="s">
        <v>53</v>
      </c>
      <c r="B211" s="428" t="s">
        <v>138</v>
      </c>
      <c r="C211" s="656">
        <f aca="true" t="shared" si="75" ref="C211:C218">D211+E211+H211+I211+J211+K211+L211+M211+N211+O211</f>
        <v>2</v>
      </c>
      <c r="D211" s="698">
        <v>1</v>
      </c>
      <c r="E211" s="661">
        <f t="shared" si="72"/>
        <v>0</v>
      </c>
      <c r="F211" s="698"/>
      <c r="G211" s="697"/>
      <c r="H211" s="698"/>
      <c r="I211" s="697">
        <v>1</v>
      </c>
      <c r="J211" s="698"/>
      <c r="K211" s="698"/>
      <c r="L211" s="698"/>
      <c r="M211" s="698"/>
      <c r="N211" s="698"/>
      <c r="O211" s="698"/>
    </row>
    <row r="212" spans="1:15" ht="15.75" hidden="1">
      <c r="A212" s="505" t="s">
        <v>54</v>
      </c>
      <c r="B212" s="428" t="s">
        <v>139</v>
      </c>
      <c r="C212" s="656">
        <f t="shared" si="75"/>
        <v>0</v>
      </c>
      <c r="D212" s="698"/>
      <c r="E212" s="661">
        <f t="shared" si="72"/>
        <v>0</v>
      </c>
      <c r="F212" s="698"/>
      <c r="G212" s="697"/>
      <c r="H212" s="698"/>
      <c r="I212" s="698"/>
      <c r="J212" s="698"/>
      <c r="K212" s="698"/>
      <c r="L212" s="698"/>
      <c r="M212" s="698"/>
      <c r="N212" s="698"/>
      <c r="O212" s="698"/>
    </row>
    <row r="213" spans="1:15" ht="15.75" hidden="1">
      <c r="A213" s="505" t="s">
        <v>140</v>
      </c>
      <c r="B213" s="428" t="s">
        <v>141</v>
      </c>
      <c r="C213" s="656">
        <f t="shared" si="75"/>
        <v>23</v>
      </c>
      <c r="D213" s="697">
        <f>15+1+2</f>
        <v>18</v>
      </c>
      <c r="E213" s="661">
        <f t="shared" si="72"/>
        <v>1</v>
      </c>
      <c r="F213" s="698"/>
      <c r="G213" s="697">
        <v>1</v>
      </c>
      <c r="H213" s="698"/>
      <c r="I213" s="697">
        <v>4</v>
      </c>
      <c r="J213" s="698"/>
      <c r="K213" s="698"/>
      <c r="L213" s="698"/>
      <c r="M213" s="655"/>
      <c r="N213" s="655"/>
      <c r="O213" s="655"/>
    </row>
    <row r="214" spans="1:15" ht="15.75" hidden="1">
      <c r="A214" s="505" t="s">
        <v>142</v>
      </c>
      <c r="B214" s="428" t="s">
        <v>143</v>
      </c>
      <c r="C214" s="656">
        <f t="shared" si="75"/>
        <v>0</v>
      </c>
      <c r="D214" s="688"/>
      <c r="E214" s="661">
        <f t="shared" si="72"/>
        <v>0</v>
      </c>
      <c r="F214" s="698"/>
      <c r="G214" s="688"/>
      <c r="H214" s="688"/>
      <c r="I214" s="688"/>
      <c r="J214" s="688"/>
      <c r="K214" s="688"/>
      <c r="L214" s="688"/>
      <c r="M214" s="655"/>
      <c r="N214" s="655"/>
      <c r="O214" s="655"/>
    </row>
    <row r="215" spans="1:15" ht="15" hidden="1">
      <c r="A215" s="505" t="s">
        <v>144</v>
      </c>
      <c r="B215" s="428" t="s">
        <v>145</v>
      </c>
      <c r="C215" s="656">
        <f t="shared" si="75"/>
        <v>0</v>
      </c>
      <c r="D215" s="655"/>
      <c r="E215" s="661">
        <f t="shared" si="72"/>
        <v>0</v>
      </c>
      <c r="F215" s="655"/>
      <c r="G215" s="655"/>
      <c r="H215" s="655"/>
      <c r="I215" s="655"/>
      <c r="J215" s="655"/>
      <c r="K215" s="655"/>
      <c r="L215" s="655"/>
      <c r="M215" s="655"/>
      <c r="N215" s="655"/>
      <c r="O215" s="655"/>
    </row>
    <row r="216" spans="1:15" ht="21.75" customHeight="1" hidden="1">
      <c r="A216" s="505" t="s">
        <v>146</v>
      </c>
      <c r="B216" s="430" t="s">
        <v>147</v>
      </c>
      <c r="C216" s="656">
        <f t="shared" si="75"/>
        <v>0</v>
      </c>
      <c r="D216" s="655"/>
      <c r="E216" s="661">
        <f>SUM(F216:G216)</f>
        <v>0</v>
      </c>
      <c r="F216" s="655"/>
      <c r="G216" s="655"/>
      <c r="H216" s="655"/>
      <c r="I216" s="655"/>
      <c r="J216" s="655"/>
      <c r="K216" s="655"/>
      <c r="L216" s="655"/>
      <c r="M216" s="655"/>
      <c r="N216" s="655"/>
      <c r="O216" s="655"/>
    </row>
    <row r="217" spans="1:15" ht="15" hidden="1">
      <c r="A217" s="505" t="s">
        <v>148</v>
      </c>
      <c r="B217" s="428" t="s">
        <v>149</v>
      </c>
      <c r="C217" s="656">
        <f t="shared" si="75"/>
        <v>0</v>
      </c>
      <c r="D217" s="655"/>
      <c r="E217" s="661">
        <f>SUM(F217:G217)</f>
        <v>0</v>
      </c>
      <c r="F217" s="655"/>
      <c r="G217" s="655"/>
      <c r="H217" s="655"/>
      <c r="I217" s="655"/>
      <c r="J217" s="655"/>
      <c r="K217" s="655"/>
      <c r="L217" s="655"/>
      <c r="M217" s="655"/>
      <c r="N217" s="655"/>
      <c r="O217" s="655"/>
    </row>
    <row r="218" spans="1:15" ht="15" hidden="1">
      <c r="A218" s="506" t="s">
        <v>52</v>
      </c>
      <c r="B218" s="394" t="s">
        <v>150</v>
      </c>
      <c r="C218" s="630">
        <f t="shared" si="75"/>
        <v>17</v>
      </c>
      <c r="D218" s="630">
        <f>D209-D210</f>
        <v>9</v>
      </c>
      <c r="E218" s="638">
        <f>SUM(F218:G218)</f>
        <v>3</v>
      </c>
      <c r="F218" s="630">
        <f>F209-F210</f>
        <v>0</v>
      </c>
      <c r="G218" s="630">
        <f>G209-G210</f>
        <v>3</v>
      </c>
      <c r="H218" s="630">
        <f>H209-H210</f>
        <v>0</v>
      </c>
      <c r="I218" s="630">
        <f aca="true" t="shared" si="76" ref="I218:N218">I209-I210</f>
        <v>5</v>
      </c>
      <c r="J218" s="630">
        <f t="shared" si="76"/>
        <v>0</v>
      </c>
      <c r="K218" s="630">
        <f t="shared" si="76"/>
        <v>0</v>
      </c>
      <c r="L218" s="630">
        <f t="shared" si="76"/>
        <v>0</v>
      </c>
      <c r="M218" s="630">
        <f t="shared" si="76"/>
        <v>0</v>
      </c>
      <c r="N218" s="630">
        <f t="shared" si="76"/>
        <v>0</v>
      </c>
      <c r="O218" s="630">
        <f>O204-O210</f>
        <v>0</v>
      </c>
    </row>
    <row r="219" spans="1:15" ht="25.5" hidden="1">
      <c r="A219" s="507" t="s">
        <v>538</v>
      </c>
      <c r="B219" s="431" t="s">
        <v>151</v>
      </c>
      <c r="C219" s="514">
        <f>(C211+C212)/C210</f>
        <v>0.08</v>
      </c>
      <c r="D219" s="514">
        <f aca="true" t="shared" si="77" ref="D219:O219">(D211+D212)/D210</f>
        <v>0.05263157894736842</v>
      </c>
      <c r="E219" s="514">
        <f t="shared" si="77"/>
        <v>0</v>
      </c>
      <c r="F219" s="514" t="e">
        <f t="shared" si="77"/>
        <v>#DIV/0!</v>
      </c>
      <c r="G219" s="514">
        <f t="shared" si="77"/>
        <v>0</v>
      </c>
      <c r="H219" s="514" t="e">
        <f t="shared" si="77"/>
        <v>#DIV/0!</v>
      </c>
      <c r="I219" s="514">
        <f t="shared" si="77"/>
        <v>0.2</v>
      </c>
      <c r="J219" s="514" t="e">
        <f t="shared" si="77"/>
        <v>#DIV/0!</v>
      </c>
      <c r="K219" s="514" t="e">
        <f t="shared" si="77"/>
        <v>#DIV/0!</v>
      </c>
      <c r="L219" s="514" t="e">
        <f t="shared" si="77"/>
        <v>#DIV/0!</v>
      </c>
      <c r="M219" s="514" t="e">
        <f t="shared" si="77"/>
        <v>#DIV/0!</v>
      </c>
      <c r="N219" s="514" t="e">
        <f t="shared" si="77"/>
        <v>#DIV/0!</v>
      </c>
      <c r="O219" s="514" t="e">
        <f t="shared" si="77"/>
        <v>#DIV/0!</v>
      </c>
    </row>
    <row r="220" ht="15"/>
  </sheetData>
  <sheetProtection/>
  <mergeCells count="152">
    <mergeCell ref="L1:O1"/>
    <mergeCell ref="L2:O2"/>
    <mergeCell ref="L3:O3"/>
    <mergeCell ref="M7:M9"/>
    <mergeCell ref="L4:O4"/>
    <mergeCell ref="A10:B10"/>
    <mergeCell ref="F8:G8"/>
    <mergeCell ref="E8:E9"/>
    <mergeCell ref="D6:O6"/>
    <mergeCell ref="N7:N9"/>
    <mergeCell ref="H7:H9"/>
    <mergeCell ref="J7:J9"/>
    <mergeCell ref="K7:K9"/>
    <mergeCell ref="D7:D9"/>
    <mergeCell ref="A1:B1"/>
    <mergeCell ref="D1:K1"/>
    <mergeCell ref="D2:K2"/>
    <mergeCell ref="A6:B9"/>
    <mergeCell ref="C6:C9"/>
    <mergeCell ref="D3:K3"/>
    <mergeCell ref="O7:O9"/>
    <mergeCell ref="L7:L9"/>
    <mergeCell ref="I7:I9"/>
    <mergeCell ref="E7:G7"/>
    <mergeCell ref="O37:O39"/>
    <mergeCell ref="E38:E39"/>
    <mergeCell ref="F38:G38"/>
    <mergeCell ref="M37:M39"/>
    <mergeCell ref="N37:N39"/>
    <mergeCell ref="E37:G37"/>
    <mergeCell ref="A40:B40"/>
    <mergeCell ref="A36:B39"/>
    <mergeCell ref="C36:C39"/>
    <mergeCell ref="D36:O36"/>
    <mergeCell ref="D37:D39"/>
    <mergeCell ref="K37:K39"/>
    <mergeCell ref="L37:L39"/>
    <mergeCell ref="H37:H39"/>
    <mergeCell ref="I37:I39"/>
    <mergeCell ref="J37:J39"/>
    <mergeCell ref="M61:M63"/>
    <mergeCell ref="N61:N63"/>
    <mergeCell ref="E61:G61"/>
    <mergeCell ref="H61:H63"/>
    <mergeCell ref="I61:I63"/>
    <mergeCell ref="J61:J63"/>
    <mergeCell ref="O61:O63"/>
    <mergeCell ref="E62:E63"/>
    <mergeCell ref="F62:G62"/>
    <mergeCell ref="A64:B64"/>
    <mergeCell ref="A60:B63"/>
    <mergeCell ref="C60:C63"/>
    <mergeCell ref="D60:O60"/>
    <mergeCell ref="D61:D63"/>
    <mergeCell ref="K61:K63"/>
    <mergeCell ref="L61:L63"/>
    <mergeCell ref="M84:M86"/>
    <mergeCell ref="N84:N86"/>
    <mergeCell ref="E84:G84"/>
    <mergeCell ref="H84:H86"/>
    <mergeCell ref="I84:I86"/>
    <mergeCell ref="J84:J86"/>
    <mergeCell ref="O84:O86"/>
    <mergeCell ref="E85:E86"/>
    <mergeCell ref="F85:G85"/>
    <mergeCell ref="A87:B87"/>
    <mergeCell ref="A83:B86"/>
    <mergeCell ref="C83:C86"/>
    <mergeCell ref="D83:O83"/>
    <mergeCell ref="D84:D86"/>
    <mergeCell ref="K84:K86"/>
    <mergeCell ref="L84:L86"/>
    <mergeCell ref="M107:M109"/>
    <mergeCell ref="E107:G107"/>
    <mergeCell ref="H107:H109"/>
    <mergeCell ref="I107:I109"/>
    <mergeCell ref="J107:J109"/>
    <mergeCell ref="E108:E109"/>
    <mergeCell ref="F108:G108"/>
    <mergeCell ref="O107:O109"/>
    <mergeCell ref="N107:N109"/>
    <mergeCell ref="N130:N132"/>
    <mergeCell ref="A110:B110"/>
    <mergeCell ref="A106:B109"/>
    <mergeCell ref="C106:C109"/>
    <mergeCell ref="D106:O106"/>
    <mergeCell ref="D107:D109"/>
    <mergeCell ref="K107:K109"/>
    <mergeCell ref="L107:L109"/>
    <mergeCell ref="I153:I155"/>
    <mergeCell ref="J153:J155"/>
    <mergeCell ref="L153:L155"/>
    <mergeCell ref="M153:M155"/>
    <mergeCell ref="K130:K132"/>
    <mergeCell ref="L130:L132"/>
    <mergeCell ref="M130:M132"/>
    <mergeCell ref="K153:K155"/>
    <mergeCell ref="I130:I132"/>
    <mergeCell ref="J130:J132"/>
    <mergeCell ref="A133:B133"/>
    <mergeCell ref="A129:B132"/>
    <mergeCell ref="C129:C132"/>
    <mergeCell ref="D129:O129"/>
    <mergeCell ref="D130:D132"/>
    <mergeCell ref="O130:O132"/>
    <mergeCell ref="E131:E132"/>
    <mergeCell ref="F131:G131"/>
    <mergeCell ref="E130:G130"/>
    <mergeCell ref="H130:H132"/>
    <mergeCell ref="A152:B155"/>
    <mergeCell ref="C152:C155"/>
    <mergeCell ref="D152:O152"/>
    <mergeCell ref="D153:D155"/>
    <mergeCell ref="N153:N155"/>
    <mergeCell ref="O153:O155"/>
    <mergeCell ref="E154:E155"/>
    <mergeCell ref="F154:G154"/>
    <mergeCell ref="E153:G153"/>
    <mergeCell ref="H153:H155"/>
    <mergeCell ref="H176:H178"/>
    <mergeCell ref="I176:I178"/>
    <mergeCell ref="J176:J178"/>
    <mergeCell ref="E177:E178"/>
    <mergeCell ref="K176:K178"/>
    <mergeCell ref="A156:B156"/>
    <mergeCell ref="F177:G177"/>
    <mergeCell ref="A179:B179"/>
    <mergeCell ref="A175:B178"/>
    <mergeCell ref="C175:C178"/>
    <mergeCell ref="D175:O175"/>
    <mergeCell ref="D176:D178"/>
    <mergeCell ref="L176:L178"/>
    <mergeCell ref="M176:M178"/>
    <mergeCell ref="N176:N178"/>
    <mergeCell ref="O176:O178"/>
    <mergeCell ref="E176:G176"/>
    <mergeCell ref="M200:M202"/>
    <mergeCell ref="N200:N202"/>
    <mergeCell ref="E200:G200"/>
    <mergeCell ref="H200:H202"/>
    <mergeCell ref="I200:I202"/>
    <mergeCell ref="J200:J202"/>
    <mergeCell ref="O200:O202"/>
    <mergeCell ref="E201:E202"/>
    <mergeCell ref="F201:G201"/>
    <mergeCell ref="A203:B203"/>
    <mergeCell ref="A199:B202"/>
    <mergeCell ref="C199:C202"/>
    <mergeCell ref="D199:O199"/>
    <mergeCell ref="D200:D202"/>
    <mergeCell ref="K200:K202"/>
    <mergeCell ref="L200:L202"/>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E40"/>
  <sheetViews>
    <sheetView showZeros="0" zoomScale="80" zoomScaleNormal="80" zoomScaleSheetLayoutView="85" zoomScalePageLayoutView="0" workbookViewId="0" topLeftCell="A4">
      <selection activeCell="C31" sqref="C31"/>
    </sheetView>
  </sheetViews>
  <sheetFormatPr defaultColWidth="9.00390625" defaultRowHeight="15.75"/>
  <cols>
    <col min="1" max="1" width="4.25390625" style="422" customWidth="1"/>
    <col min="2" max="2" width="47.375" style="422" customWidth="1"/>
    <col min="3" max="3" width="39.75390625" style="422" customWidth="1"/>
    <col min="4" max="16384" width="9.00390625" style="422" customWidth="1"/>
  </cols>
  <sheetData>
    <row r="1" spans="1:3" s="434" customFormat="1" ht="39.75" customHeight="1">
      <c r="A1" s="1307" t="s">
        <v>554</v>
      </c>
      <c r="B1" s="1308"/>
      <c r="C1" s="1308"/>
    </row>
    <row r="2" spans="1:3" ht="21" customHeight="1">
      <c r="A2" s="1309" t="s">
        <v>69</v>
      </c>
      <c r="B2" s="1310"/>
      <c r="C2" s="438" t="s">
        <v>338</v>
      </c>
    </row>
    <row r="3" spans="1:3" s="441" customFormat="1" ht="15" customHeight="1">
      <c r="A3" s="1311" t="s">
        <v>6</v>
      </c>
      <c r="B3" s="1312"/>
      <c r="C3" s="440">
        <v>1</v>
      </c>
    </row>
    <row r="4" spans="1:3" s="442" customFormat="1" ht="19.5" customHeight="1">
      <c r="A4" s="439" t="s">
        <v>51</v>
      </c>
      <c r="B4" s="519" t="s">
        <v>552</v>
      </c>
      <c r="C4" s="401">
        <f>C5+C6+C7+C8+C9+C10+C11+C12+C13</f>
        <v>24</v>
      </c>
    </row>
    <row r="5" spans="1:3" s="26" customFormat="1" ht="19.5" customHeight="1">
      <c r="A5" s="443" t="s">
        <v>53</v>
      </c>
      <c r="B5" s="520" t="s">
        <v>167</v>
      </c>
      <c r="C5" s="405"/>
    </row>
    <row r="6" spans="1:3" s="26" customFormat="1" ht="19.5" customHeight="1">
      <c r="A6" s="444" t="s">
        <v>54</v>
      </c>
      <c r="B6" s="520" t="s">
        <v>169</v>
      </c>
      <c r="C6" s="405"/>
    </row>
    <row r="7" spans="1:3" s="26" customFormat="1" ht="19.5" customHeight="1">
      <c r="A7" s="444" t="s">
        <v>140</v>
      </c>
      <c r="B7" s="520" t="s">
        <v>179</v>
      </c>
      <c r="C7" s="405"/>
    </row>
    <row r="8" spans="1:3" s="26" customFormat="1" ht="19.5" customHeight="1">
      <c r="A8" s="444" t="s">
        <v>142</v>
      </c>
      <c r="B8" s="520" t="s">
        <v>171</v>
      </c>
      <c r="C8" s="405">
        <f>18+3+3</f>
        <v>24</v>
      </c>
    </row>
    <row r="9" spans="1:3" s="26" customFormat="1" ht="19.5" customHeight="1">
      <c r="A9" s="444" t="s">
        <v>144</v>
      </c>
      <c r="B9" s="520" t="s">
        <v>155</v>
      </c>
      <c r="C9" s="405"/>
    </row>
    <row r="10" spans="1:3" s="26" customFormat="1" ht="19.5" customHeight="1">
      <c r="A10" s="444" t="s">
        <v>146</v>
      </c>
      <c r="B10" s="520" t="s">
        <v>184</v>
      </c>
      <c r="C10" s="405"/>
    </row>
    <row r="11" spans="1:3" s="26" customFormat="1" ht="19.5" customHeight="1">
      <c r="A11" s="444" t="s">
        <v>148</v>
      </c>
      <c r="B11" s="520" t="s">
        <v>157</v>
      </c>
      <c r="C11" s="405"/>
    </row>
    <row r="12" spans="1:3" s="445" customFormat="1" ht="19.5" customHeight="1">
      <c r="A12" s="444" t="s">
        <v>185</v>
      </c>
      <c r="B12" s="520" t="s">
        <v>186</v>
      </c>
      <c r="C12" s="405"/>
    </row>
    <row r="13" spans="1:3" s="445" customFormat="1" ht="19.5" customHeight="1">
      <c r="A13" s="444" t="s">
        <v>558</v>
      </c>
      <c r="B13" s="520" t="s">
        <v>159</v>
      </c>
      <c r="C13" s="405"/>
    </row>
    <row r="14" spans="1:3" s="445" customFormat="1" ht="19.5" customHeight="1">
      <c r="A14" s="439" t="s">
        <v>52</v>
      </c>
      <c r="B14" s="519" t="s">
        <v>550</v>
      </c>
      <c r="C14" s="401">
        <f>C15+C16</f>
        <v>0</v>
      </c>
    </row>
    <row r="15" spans="1:3" s="445" customFormat="1" ht="19.5" customHeight="1">
      <c r="A15" s="443" t="s">
        <v>55</v>
      </c>
      <c r="B15" s="520" t="s">
        <v>187</v>
      </c>
      <c r="C15" s="405"/>
    </row>
    <row r="16" spans="1:3" s="445" customFormat="1" ht="19.5" customHeight="1">
      <c r="A16" s="443" t="s">
        <v>56</v>
      </c>
      <c r="B16" s="520" t="s">
        <v>159</v>
      </c>
      <c r="C16" s="405"/>
    </row>
    <row r="17" spans="1:3" s="442" customFormat="1" ht="19.5" customHeight="1">
      <c r="A17" s="439" t="s">
        <v>57</v>
      </c>
      <c r="B17" s="519" t="s">
        <v>149</v>
      </c>
      <c r="C17" s="401">
        <f>C18+C19+C20</f>
        <v>2</v>
      </c>
    </row>
    <row r="18" spans="1:3" s="26" customFormat="1" ht="19.5" customHeight="1">
      <c r="A18" s="443" t="s">
        <v>160</v>
      </c>
      <c r="B18" s="520" t="s">
        <v>188</v>
      </c>
      <c r="C18" s="405">
        <f>1</f>
        <v>1</v>
      </c>
    </row>
    <row r="19" spans="1:3" s="26" customFormat="1" ht="30">
      <c r="A19" s="444" t="s">
        <v>162</v>
      </c>
      <c r="B19" s="520" t="s">
        <v>163</v>
      </c>
      <c r="C19" s="405">
        <v>1</v>
      </c>
    </row>
    <row r="20" spans="1:3" s="26" customFormat="1" ht="33.75" customHeight="1">
      <c r="A20" s="444" t="s">
        <v>164</v>
      </c>
      <c r="B20" s="520" t="s">
        <v>165</v>
      </c>
      <c r="C20" s="405"/>
    </row>
    <row r="21" spans="1:3" s="26" customFormat="1" ht="19.5" customHeight="1">
      <c r="A21" s="439" t="s">
        <v>72</v>
      </c>
      <c r="B21" s="519" t="s">
        <v>547</v>
      </c>
      <c r="C21" s="401">
        <f>C22+C23+C24+C25+C26+C27+C28</f>
        <v>4</v>
      </c>
    </row>
    <row r="22" spans="1:3" s="26" customFormat="1" ht="19.5" customHeight="1">
      <c r="A22" s="444" t="s">
        <v>166</v>
      </c>
      <c r="B22" s="520" t="s">
        <v>167</v>
      </c>
      <c r="C22" s="405">
        <f>1</f>
        <v>1</v>
      </c>
    </row>
    <row r="23" spans="1:3" s="26" customFormat="1" ht="19.5" customHeight="1">
      <c r="A23" s="444" t="s">
        <v>168</v>
      </c>
      <c r="B23" s="520" t="s">
        <v>169</v>
      </c>
      <c r="C23" s="405"/>
    </row>
    <row r="24" spans="1:3" s="26" customFormat="1" ht="19.5" customHeight="1">
      <c r="A24" s="444" t="s">
        <v>170</v>
      </c>
      <c r="B24" s="520" t="s">
        <v>189</v>
      </c>
      <c r="C24" s="405">
        <f>2+1</f>
        <v>3</v>
      </c>
    </row>
    <row r="25" spans="1:3" s="26" customFormat="1" ht="19.5" customHeight="1">
      <c r="A25" s="444" t="s">
        <v>172</v>
      </c>
      <c r="B25" s="520" t="s">
        <v>154</v>
      </c>
      <c r="C25" s="405"/>
    </row>
    <row r="26" spans="1:3" s="26" customFormat="1" ht="19.5" customHeight="1">
      <c r="A26" s="444" t="s">
        <v>173</v>
      </c>
      <c r="B26" s="520" t="s">
        <v>190</v>
      </c>
      <c r="C26" s="405"/>
    </row>
    <row r="27" spans="1:3" s="26" customFormat="1" ht="19.5" customHeight="1">
      <c r="A27" s="444" t="s">
        <v>174</v>
      </c>
      <c r="B27" s="520" t="s">
        <v>157</v>
      </c>
      <c r="C27" s="405"/>
    </row>
    <row r="28" spans="1:5" s="26" customFormat="1" ht="19.5" customHeight="1">
      <c r="A28" s="444" t="s">
        <v>191</v>
      </c>
      <c r="B28" s="520" t="s">
        <v>192</v>
      </c>
      <c r="C28" s="405"/>
      <c r="E28" s="26" t="s">
        <v>719</v>
      </c>
    </row>
    <row r="29" spans="1:3" s="26" customFormat="1" ht="19.5" customHeight="1">
      <c r="A29" s="439" t="s">
        <v>73</v>
      </c>
      <c r="B29" s="519" t="s">
        <v>551</v>
      </c>
      <c r="C29" s="401">
        <f>C30+C31+C32</f>
        <v>439</v>
      </c>
    </row>
    <row r="30" spans="1:3" ht="19.5" customHeight="1">
      <c r="A30" s="444" t="s">
        <v>176</v>
      </c>
      <c r="B30" s="520" t="s">
        <v>167</v>
      </c>
      <c r="C30" s="405">
        <v>438</v>
      </c>
    </row>
    <row r="31" spans="1:3" s="26" customFormat="1" ht="19.5" customHeight="1">
      <c r="A31" s="444" t="s">
        <v>177</v>
      </c>
      <c r="B31" s="520" t="s">
        <v>169</v>
      </c>
      <c r="C31" s="405"/>
    </row>
    <row r="32" spans="1:3" s="26" customFormat="1" ht="19.5" customHeight="1">
      <c r="A32" s="444" t="s">
        <v>178</v>
      </c>
      <c r="B32" s="520" t="s">
        <v>189</v>
      </c>
      <c r="C32" s="405">
        <v>1</v>
      </c>
    </row>
    <row r="33" spans="1:3" s="26" customFormat="1" ht="25.5" customHeight="1">
      <c r="A33" s="1313" t="str">
        <f>'Thong tin'!B8</f>
        <v>Tuyên Quang, ngày 05 tháng 01 năm 2018</v>
      </c>
      <c r="B33" s="1313"/>
      <c r="C33" s="1313"/>
    </row>
    <row r="34" spans="1:3" s="26" customFormat="1" ht="18.75">
      <c r="A34" s="1306" t="s">
        <v>4</v>
      </c>
      <c r="B34" s="1306"/>
      <c r="C34" s="521" t="str">
        <f>'Thong tin'!B7</f>
        <v>CỤC TRƯỞNG</v>
      </c>
    </row>
    <row r="35" spans="1:3" s="26" customFormat="1" ht="18.75">
      <c r="A35" s="522"/>
      <c r="B35" s="523"/>
      <c r="C35" s="523"/>
    </row>
    <row r="36" spans="1:3" s="26" customFormat="1" ht="15.75">
      <c r="A36" s="522"/>
      <c r="B36" s="524"/>
      <c r="C36" s="524"/>
    </row>
    <row r="37" spans="1:3" s="26" customFormat="1" ht="15.75">
      <c r="A37" s="522"/>
      <c r="B37" s="522"/>
      <c r="C37" s="522"/>
    </row>
    <row r="38" spans="1:3" ht="15.75">
      <c r="A38" s="525"/>
      <c r="B38" s="526"/>
      <c r="C38" s="527"/>
    </row>
    <row r="39" spans="1:3" ht="15.75">
      <c r="A39" s="528"/>
      <c r="B39" s="527"/>
      <c r="C39" s="528"/>
    </row>
    <row r="40" spans="1:3" s="442" customFormat="1" ht="18.75">
      <c r="A40" s="1305" t="str">
        <f>'Thong tin'!B5</f>
        <v>Duy Thị Thúy</v>
      </c>
      <c r="B40" s="1305"/>
      <c r="C40" s="529" t="str">
        <f>'Thong tin'!B6</f>
        <v>Nguyễn Tuyên </v>
      </c>
    </row>
  </sheetData>
  <sheetProtection/>
  <mergeCells count="6">
    <mergeCell ref="A40:B40"/>
    <mergeCell ref="A34:B34"/>
    <mergeCell ref="A1:C1"/>
    <mergeCell ref="A2:B2"/>
    <mergeCell ref="A3:B3"/>
    <mergeCell ref="A33:C3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O229"/>
  <sheetViews>
    <sheetView showZeros="0" zoomScaleSheetLayoutView="85" zoomScalePageLayoutView="0" workbookViewId="0" topLeftCell="A1">
      <selection activeCell="E18" sqref="E18:E21"/>
    </sheetView>
  </sheetViews>
  <sheetFormatPr defaultColWidth="9.00390625" defaultRowHeight="15.75"/>
  <cols>
    <col min="1" max="1" width="4.125" style="434" customWidth="1"/>
    <col min="2" max="2" width="26.375" style="388" customWidth="1"/>
    <col min="3" max="3" width="12.25390625" style="388" customWidth="1"/>
    <col min="4" max="4" width="9.375" style="388" customWidth="1"/>
    <col min="5" max="5" width="11.00390625" style="388" customWidth="1"/>
    <col min="6" max="6" width="9.50390625" style="388" bestFit="1" customWidth="1"/>
    <col min="7" max="7" width="10.00390625" style="388" customWidth="1"/>
    <col min="8" max="9" width="8.25390625" style="388" customWidth="1"/>
    <col min="10" max="10" width="9.625" style="388" customWidth="1"/>
    <col min="11" max="11" width="7.25390625" style="388" customWidth="1"/>
    <col min="12" max="12" width="6.75390625" style="388" customWidth="1"/>
    <col min="13" max="13" width="5.875" style="388" customWidth="1"/>
    <col min="14" max="14" width="9.50390625" style="388" customWidth="1"/>
    <col min="15" max="16384" width="9.00390625" style="388" customWidth="1"/>
  </cols>
  <sheetData>
    <row r="1" spans="1:15" ht="23.25" customHeight="1">
      <c r="A1" s="1314" t="s">
        <v>30</v>
      </c>
      <c r="B1" s="1314"/>
      <c r="C1" s="450"/>
      <c r="D1" s="451" t="s">
        <v>193</v>
      </c>
      <c r="E1" s="451"/>
      <c r="F1" s="451"/>
      <c r="G1" s="451"/>
      <c r="H1" s="451"/>
      <c r="I1" s="451"/>
      <c r="J1" s="452"/>
      <c r="K1" s="418"/>
      <c r="L1" s="420" t="s">
        <v>540</v>
      </c>
      <c r="M1" s="432"/>
      <c r="N1" s="413"/>
      <c r="O1" s="413"/>
    </row>
    <row r="2" spans="1:15" ht="16.5" customHeight="1">
      <c r="A2" s="1315" t="s">
        <v>342</v>
      </c>
      <c r="B2" s="1315"/>
      <c r="C2" s="1315"/>
      <c r="D2" s="1258" t="s">
        <v>117</v>
      </c>
      <c r="E2" s="1258"/>
      <c r="F2" s="1258"/>
      <c r="G2" s="1258"/>
      <c r="H2" s="1258"/>
      <c r="I2" s="1258"/>
      <c r="J2" s="451"/>
      <c r="K2" s="420"/>
      <c r="L2" s="453" t="str">
        <f>'Thong tin'!B4</f>
        <v>Cục THADS tỉnh Tuyên Quang</v>
      </c>
      <c r="M2" s="420"/>
      <c r="N2" s="413"/>
      <c r="O2" s="423"/>
    </row>
    <row r="3" spans="1:15" ht="16.5" customHeight="1">
      <c r="A3" s="1315" t="s">
        <v>343</v>
      </c>
      <c r="B3" s="1315"/>
      <c r="C3" s="413"/>
      <c r="D3" s="1281" t="str">
        <f>'Thong tin'!B3</f>
        <v>03 tháng / năm 2018</v>
      </c>
      <c r="E3" s="1281"/>
      <c r="F3" s="1281"/>
      <c r="G3" s="1281"/>
      <c r="H3" s="1281"/>
      <c r="I3" s="1281"/>
      <c r="J3" s="454"/>
      <c r="K3" s="418"/>
      <c r="L3" s="420" t="s">
        <v>507</v>
      </c>
      <c r="M3" s="432"/>
      <c r="N3" s="413"/>
      <c r="O3" s="455"/>
    </row>
    <row r="4" spans="1:15" ht="16.5" customHeight="1">
      <c r="A4" s="432" t="s">
        <v>118</v>
      </c>
      <c r="B4" s="432"/>
      <c r="C4" s="419"/>
      <c r="D4" s="420"/>
      <c r="E4" s="420"/>
      <c r="F4" s="419"/>
      <c r="G4" s="421"/>
      <c r="H4" s="421"/>
      <c r="I4" s="421"/>
      <c r="J4" s="419"/>
      <c r="K4" s="420"/>
      <c r="L4" s="453" t="s">
        <v>410</v>
      </c>
      <c r="M4" s="420"/>
      <c r="N4" s="413"/>
      <c r="O4" s="455"/>
    </row>
    <row r="5" spans="1:15" ht="16.5" customHeight="1">
      <c r="A5" s="422"/>
      <c r="B5" s="419"/>
      <c r="C5" s="456"/>
      <c r="D5" s="419"/>
      <c r="E5" s="419"/>
      <c r="F5" s="423"/>
      <c r="G5" s="424"/>
      <c r="H5" s="424"/>
      <c r="I5" s="424"/>
      <c r="J5" s="423"/>
      <c r="K5" s="425"/>
      <c r="L5" s="425" t="s">
        <v>194</v>
      </c>
      <c r="M5" s="425"/>
      <c r="N5" s="413"/>
      <c r="O5" s="455"/>
    </row>
    <row r="6" spans="1:15" ht="18.75" customHeight="1">
      <c r="A6" s="1272" t="s">
        <v>68</v>
      </c>
      <c r="B6" s="1273"/>
      <c r="C6" s="1279" t="s">
        <v>37</v>
      </c>
      <c r="D6" s="1278" t="s">
        <v>336</v>
      </c>
      <c r="E6" s="1282"/>
      <c r="F6" s="1282"/>
      <c r="G6" s="1282"/>
      <c r="H6" s="1282"/>
      <c r="I6" s="1282"/>
      <c r="J6" s="1282"/>
      <c r="K6" s="1282"/>
      <c r="L6" s="1282"/>
      <c r="M6" s="1282"/>
      <c r="N6" s="1283"/>
      <c r="O6" s="457"/>
    </row>
    <row r="7" spans="1:15" ht="27" customHeight="1">
      <c r="A7" s="1274"/>
      <c r="B7" s="1275"/>
      <c r="C7" s="1279"/>
      <c r="D7" s="1262" t="s">
        <v>195</v>
      </c>
      <c r="E7" s="1266" t="s">
        <v>196</v>
      </c>
      <c r="F7" s="1267"/>
      <c r="G7" s="1268"/>
      <c r="H7" s="1262" t="s">
        <v>197</v>
      </c>
      <c r="I7" s="1262" t="s">
        <v>122</v>
      </c>
      <c r="J7" s="1262" t="s">
        <v>198</v>
      </c>
      <c r="K7" s="1262" t="s">
        <v>124</v>
      </c>
      <c r="L7" s="1262" t="s">
        <v>125</v>
      </c>
      <c r="M7" s="1262" t="s">
        <v>126</v>
      </c>
      <c r="N7" s="1302" t="s">
        <v>127</v>
      </c>
      <c r="O7" s="455"/>
    </row>
    <row r="8" spans="1:15" ht="18" customHeight="1">
      <c r="A8" s="1274"/>
      <c r="B8" s="1275"/>
      <c r="C8" s="1279"/>
      <c r="D8" s="1262"/>
      <c r="E8" s="1271" t="s">
        <v>36</v>
      </c>
      <c r="F8" s="1264" t="s">
        <v>7</v>
      </c>
      <c r="G8" s="1265"/>
      <c r="H8" s="1262"/>
      <c r="I8" s="1262"/>
      <c r="J8" s="1262"/>
      <c r="K8" s="1262"/>
      <c r="L8" s="1262"/>
      <c r="M8" s="1262"/>
      <c r="N8" s="1302"/>
      <c r="O8" s="458"/>
    </row>
    <row r="9" spans="1:15" ht="26.25" customHeight="1">
      <c r="A9" s="1276"/>
      <c r="B9" s="1277"/>
      <c r="C9" s="1279"/>
      <c r="D9" s="1263"/>
      <c r="E9" s="1263"/>
      <c r="F9" s="557" t="s">
        <v>199</v>
      </c>
      <c r="G9" s="558" t="s">
        <v>200</v>
      </c>
      <c r="H9" s="1263"/>
      <c r="I9" s="1263"/>
      <c r="J9" s="1263"/>
      <c r="K9" s="1263"/>
      <c r="L9" s="1263"/>
      <c r="M9" s="1263"/>
      <c r="N9" s="1302"/>
      <c r="O9" s="458"/>
    </row>
    <row r="10" spans="1:15" s="461" customFormat="1" ht="20.25" customHeight="1">
      <c r="A10" s="1316" t="s">
        <v>39</v>
      </c>
      <c r="B10" s="1317"/>
      <c r="C10" s="459">
        <v>1</v>
      </c>
      <c r="D10" s="459">
        <v>2</v>
      </c>
      <c r="E10" s="459">
        <v>3</v>
      </c>
      <c r="F10" s="459">
        <v>4</v>
      </c>
      <c r="G10" s="459">
        <v>5</v>
      </c>
      <c r="H10" s="459">
        <v>6</v>
      </c>
      <c r="I10" s="459">
        <v>7</v>
      </c>
      <c r="J10" s="459">
        <v>8</v>
      </c>
      <c r="K10" s="459">
        <v>9</v>
      </c>
      <c r="L10" s="459">
        <v>10</v>
      </c>
      <c r="M10" s="459">
        <v>11</v>
      </c>
      <c r="N10" s="459">
        <v>12</v>
      </c>
      <c r="O10" s="460"/>
    </row>
    <row r="11" spans="1:15" s="920" customFormat="1" ht="26.25" customHeight="1">
      <c r="A11" s="917" t="s">
        <v>0</v>
      </c>
      <c r="B11" s="918" t="s">
        <v>130</v>
      </c>
      <c r="C11" s="630">
        <f aca="true" t="shared" si="0" ref="C11:C16">SUM(D11,E11,H11:N11)</f>
        <v>13083354</v>
      </c>
      <c r="D11" s="638">
        <f>SUM(D12:D13)</f>
        <v>1761063</v>
      </c>
      <c r="E11" s="638">
        <f aca="true" t="shared" si="1" ref="E11:N11">SUM(E12:E13)</f>
        <v>10191364</v>
      </c>
      <c r="F11" s="638">
        <f t="shared" si="1"/>
        <v>1282047</v>
      </c>
      <c r="G11" s="638">
        <f t="shared" si="1"/>
        <v>8909317</v>
      </c>
      <c r="H11" s="638">
        <f t="shared" si="1"/>
        <v>1100</v>
      </c>
      <c r="I11" s="638">
        <f t="shared" si="1"/>
        <v>365687</v>
      </c>
      <c r="J11" s="638">
        <f t="shared" si="1"/>
        <v>310832</v>
      </c>
      <c r="K11" s="638">
        <f>SUM(K12:K13)</f>
        <v>1724</v>
      </c>
      <c r="L11" s="638">
        <f t="shared" si="1"/>
        <v>0</v>
      </c>
      <c r="M11" s="638">
        <f t="shared" si="1"/>
        <v>0</v>
      </c>
      <c r="N11" s="638">
        <f t="shared" si="1"/>
        <v>451584</v>
      </c>
      <c r="O11" s="919"/>
    </row>
    <row r="12" spans="1:15" s="920" customFormat="1" ht="26.25" customHeight="1">
      <c r="A12" s="921">
        <v>1</v>
      </c>
      <c r="B12" s="922" t="s">
        <v>131</v>
      </c>
      <c r="C12" s="656">
        <f>SUM(D12,E12,H12:N12)</f>
        <v>10562861</v>
      </c>
      <c r="D12" s="655">
        <f>D45+D69+D93+D117+D142+D166+D190+D214</f>
        <v>1314603</v>
      </c>
      <c r="E12" s="780">
        <f>SUM(F12:G12)</f>
        <v>8970137</v>
      </c>
      <c r="F12" s="655">
        <f>F45+F69+F93+F117+F142+F166+F190+F214</f>
        <v>1196338</v>
      </c>
      <c r="G12" s="655">
        <f aca="true" t="shared" si="2" ref="G12:N12">G45+G69+G93+G117+G142+G166+G190+G214</f>
        <v>7773799</v>
      </c>
      <c r="H12" s="655">
        <f t="shared" si="2"/>
        <v>0</v>
      </c>
      <c r="I12" s="655">
        <f t="shared" si="2"/>
        <v>206538</v>
      </c>
      <c r="J12" s="655">
        <f t="shared" si="2"/>
        <v>49658</v>
      </c>
      <c r="K12" s="655">
        <f t="shared" si="2"/>
        <v>1724</v>
      </c>
      <c r="L12" s="655">
        <f t="shared" si="2"/>
        <v>0</v>
      </c>
      <c r="M12" s="655">
        <f t="shared" si="2"/>
        <v>0</v>
      </c>
      <c r="N12" s="655">
        <f t="shared" si="2"/>
        <v>20201</v>
      </c>
      <c r="O12" s="919"/>
    </row>
    <row r="13" spans="1:15" s="920" customFormat="1" ht="26.25" customHeight="1">
      <c r="A13" s="921">
        <v>2</v>
      </c>
      <c r="B13" s="922" t="s">
        <v>132</v>
      </c>
      <c r="C13" s="656">
        <f t="shared" si="0"/>
        <v>2520493</v>
      </c>
      <c r="D13" s="655">
        <f>D46+D70+D94+D118+D143+D167+D191+D215</f>
        <v>446460</v>
      </c>
      <c r="E13" s="780">
        <f>SUM(F13:G13)</f>
        <v>1221227</v>
      </c>
      <c r="F13" s="655">
        <f aca="true" t="shared" si="3" ref="F13:N14">F46+F70+F94+F118+F143+F167+F191+F215</f>
        <v>85709</v>
      </c>
      <c r="G13" s="655">
        <f t="shared" si="3"/>
        <v>1135518</v>
      </c>
      <c r="H13" s="655">
        <f t="shared" si="3"/>
        <v>1100</v>
      </c>
      <c r="I13" s="655">
        <f t="shared" si="3"/>
        <v>159149</v>
      </c>
      <c r="J13" s="655">
        <f t="shared" si="3"/>
        <v>261174</v>
      </c>
      <c r="K13" s="655">
        <f t="shared" si="3"/>
        <v>0</v>
      </c>
      <c r="L13" s="655">
        <f t="shared" si="3"/>
        <v>0</v>
      </c>
      <c r="M13" s="655">
        <f t="shared" si="3"/>
        <v>0</v>
      </c>
      <c r="N13" s="655">
        <f t="shared" si="3"/>
        <v>431383</v>
      </c>
      <c r="O13" s="919"/>
    </row>
    <row r="14" spans="1:15" s="920" customFormat="1" ht="26.25" customHeight="1">
      <c r="A14" s="20" t="s">
        <v>1</v>
      </c>
      <c r="B14" s="923" t="s">
        <v>133</v>
      </c>
      <c r="C14" s="656">
        <f t="shared" si="0"/>
        <v>213013</v>
      </c>
      <c r="D14" s="655">
        <f>D47+D71+D95+D119+D144+D168+D192+D216</f>
        <v>104282</v>
      </c>
      <c r="E14" s="780">
        <f>SUM(F14:G14)</f>
        <v>108731</v>
      </c>
      <c r="F14" s="655">
        <f t="shared" si="3"/>
        <v>1900</v>
      </c>
      <c r="G14" s="655">
        <f t="shared" si="3"/>
        <v>106831</v>
      </c>
      <c r="H14" s="655">
        <f t="shared" si="3"/>
        <v>0</v>
      </c>
      <c r="I14" s="655">
        <f t="shared" si="3"/>
        <v>0</v>
      </c>
      <c r="J14" s="655">
        <f t="shared" si="3"/>
        <v>0</v>
      </c>
      <c r="K14" s="655">
        <f t="shared" si="3"/>
        <v>0</v>
      </c>
      <c r="L14" s="655">
        <f t="shared" si="3"/>
        <v>0</v>
      </c>
      <c r="M14" s="655">
        <f t="shared" si="3"/>
        <v>0</v>
      </c>
      <c r="N14" s="655">
        <f t="shared" si="3"/>
        <v>0</v>
      </c>
      <c r="O14" s="919"/>
    </row>
    <row r="15" spans="1:15" s="920" customFormat="1" ht="26.25" customHeight="1">
      <c r="A15" s="20" t="s">
        <v>9</v>
      </c>
      <c r="B15" s="923" t="s">
        <v>134</v>
      </c>
      <c r="C15" s="656">
        <f t="shared" si="0"/>
        <v>0</v>
      </c>
      <c r="D15" s="655"/>
      <c r="E15" s="661">
        <f>SUM(F15:G15)</f>
        <v>0</v>
      </c>
      <c r="F15" s="655"/>
      <c r="G15" s="655"/>
      <c r="H15" s="655"/>
      <c r="I15" s="655"/>
      <c r="J15" s="655"/>
      <c r="K15" s="655"/>
      <c r="L15" s="655"/>
      <c r="M15" s="655"/>
      <c r="N15" s="655"/>
      <c r="O15" s="919"/>
    </row>
    <row r="16" spans="1:15" s="920" customFormat="1" ht="26.25" customHeight="1">
      <c r="A16" s="20" t="s">
        <v>135</v>
      </c>
      <c r="B16" s="923" t="s">
        <v>136</v>
      </c>
      <c r="C16" s="658">
        <f t="shared" si="0"/>
        <v>12870341</v>
      </c>
      <c r="D16" s="658">
        <f>D11-SUM(D14,D15)</f>
        <v>1656781</v>
      </c>
      <c r="E16" s="658">
        <f aca="true" t="shared" si="4" ref="E16:N16">E11-SUM(E14,E15)</f>
        <v>10082633</v>
      </c>
      <c r="F16" s="658">
        <f t="shared" si="4"/>
        <v>1280147</v>
      </c>
      <c r="G16" s="658">
        <f t="shared" si="4"/>
        <v>8802486</v>
      </c>
      <c r="H16" s="658">
        <f t="shared" si="4"/>
        <v>1100</v>
      </c>
      <c r="I16" s="658">
        <f t="shared" si="4"/>
        <v>365687</v>
      </c>
      <c r="J16" s="658">
        <f t="shared" si="4"/>
        <v>310832</v>
      </c>
      <c r="K16" s="658">
        <f t="shared" si="4"/>
        <v>1724</v>
      </c>
      <c r="L16" s="658">
        <f t="shared" si="4"/>
        <v>0</v>
      </c>
      <c r="M16" s="658">
        <f t="shared" si="4"/>
        <v>0</v>
      </c>
      <c r="N16" s="658">
        <f t="shared" si="4"/>
        <v>451584</v>
      </c>
      <c r="O16" s="919"/>
    </row>
    <row r="17" spans="1:15" s="920" customFormat="1" ht="26.25" customHeight="1">
      <c r="A17" s="20" t="s">
        <v>51</v>
      </c>
      <c r="B17" s="924" t="s">
        <v>137</v>
      </c>
      <c r="C17" s="660">
        <f aca="true" t="shared" si="5" ref="C17:N17">SUM(C18:C25)</f>
        <v>3545997</v>
      </c>
      <c r="D17" s="660">
        <f t="shared" si="5"/>
        <v>820409</v>
      </c>
      <c r="E17" s="660">
        <f>SUM(E18:E25)</f>
        <v>1698686</v>
      </c>
      <c r="F17" s="660">
        <f t="shared" si="5"/>
        <v>122120</v>
      </c>
      <c r="G17" s="660">
        <f t="shared" si="5"/>
        <v>1576566</v>
      </c>
      <c r="H17" s="660">
        <f t="shared" si="5"/>
        <v>1100</v>
      </c>
      <c r="I17" s="660">
        <f t="shared" si="5"/>
        <v>313244</v>
      </c>
      <c r="J17" s="660">
        <f t="shared" si="5"/>
        <v>261174</v>
      </c>
      <c r="K17" s="660">
        <f t="shared" si="5"/>
        <v>0</v>
      </c>
      <c r="L17" s="660">
        <f t="shared" si="5"/>
        <v>0</v>
      </c>
      <c r="M17" s="660">
        <f t="shared" si="5"/>
        <v>0</v>
      </c>
      <c r="N17" s="660">
        <f t="shared" si="5"/>
        <v>451384</v>
      </c>
      <c r="O17" s="467"/>
    </row>
    <row r="18" spans="1:15" s="920" customFormat="1" ht="26.25" customHeight="1">
      <c r="A18" s="921" t="s">
        <v>53</v>
      </c>
      <c r="B18" s="922" t="s">
        <v>138</v>
      </c>
      <c r="C18" s="656">
        <f>SUM(C51+C75+C99+C123+C148+C172+C196+C220)</f>
        <v>1918820</v>
      </c>
      <c r="D18" s="655">
        <f>D51+D75+D99+D123+D148+D172+D196+D220</f>
        <v>276118</v>
      </c>
      <c r="E18" s="780">
        <f aca="true" t="shared" si="6" ref="E18:E23">SUM(F18:G18)</f>
        <v>799713</v>
      </c>
      <c r="F18" s="655">
        <f>F51+F75+F99+F123+F148+F172+F196+F220</f>
        <v>60044</v>
      </c>
      <c r="G18" s="655">
        <f aca="true" t="shared" si="7" ref="G18:N18">G51+G75+G99+G123+G148+G172+G196+G220</f>
        <v>739669</v>
      </c>
      <c r="H18" s="655">
        <f t="shared" si="7"/>
        <v>1100</v>
      </c>
      <c r="I18" s="655">
        <f t="shared" si="7"/>
        <v>169434</v>
      </c>
      <c r="J18" s="655">
        <f t="shared" si="7"/>
        <v>228030</v>
      </c>
      <c r="K18" s="655">
        <f t="shared" si="7"/>
        <v>0</v>
      </c>
      <c r="L18" s="655">
        <f t="shared" si="7"/>
        <v>0</v>
      </c>
      <c r="M18" s="655">
        <f t="shared" si="7"/>
        <v>0</v>
      </c>
      <c r="N18" s="655">
        <f t="shared" si="7"/>
        <v>444425</v>
      </c>
      <c r="O18" s="467"/>
    </row>
    <row r="19" spans="1:15" s="920" customFormat="1" ht="26.25" customHeight="1">
      <c r="A19" s="921" t="s">
        <v>54</v>
      </c>
      <c r="B19" s="922" t="s">
        <v>139</v>
      </c>
      <c r="C19" s="656">
        <f>SUM(C52+C76+C100+C124+C149+C173+C197+C221)</f>
        <v>344658</v>
      </c>
      <c r="D19" s="655">
        <f aca="true" t="shared" si="8" ref="D19:D25">D52+D76+D100+D124+D149+D173+D197+D221</f>
        <v>410</v>
      </c>
      <c r="E19" s="780">
        <f t="shared" si="6"/>
        <v>342373</v>
      </c>
      <c r="F19" s="655">
        <f aca="true" t="shared" si="9" ref="F19:N25">F52+F76+F100+F124+F149+F173+F197+F221</f>
        <v>9639</v>
      </c>
      <c r="G19" s="655">
        <f t="shared" si="9"/>
        <v>332734</v>
      </c>
      <c r="H19" s="655">
        <f t="shared" si="9"/>
        <v>0</v>
      </c>
      <c r="I19" s="655">
        <f t="shared" si="9"/>
        <v>1875</v>
      </c>
      <c r="J19" s="655">
        <f t="shared" si="9"/>
        <v>0</v>
      </c>
      <c r="K19" s="655">
        <f t="shared" si="9"/>
        <v>0</v>
      </c>
      <c r="L19" s="655">
        <f t="shared" si="9"/>
        <v>0</v>
      </c>
      <c r="M19" s="655">
        <f t="shared" si="9"/>
        <v>0</v>
      </c>
      <c r="N19" s="655">
        <f t="shared" si="9"/>
        <v>0</v>
      </c>
      <c r="O19" s="467"/>
    </row>
    <row r="20" spans="1:15" s="920" customFormat="1" ht="26.25" customHeight="1">
      <c r="A20" s="921" t="s">
        <v>140</v>
      </c>
      <c r="B20" s="922" t="s">
        <v>201</v>
      </c>
      <c r="C20" s="656">
        <f>SUM(C53+C77+C101+C125+C150+C174+C198+C222)</f>
        <v>97472</v>
      </c>
      <c r="D20" s="655">
        <f t="shared" si="8"/>
        <v>0</v>
      </c>
      <c r="E20" s="780">
        <f t="shared" si="6"/>
        <v>97472</v>
      </c>
      <c r="F20" s="655">
        <f t="shared" si="9"/>
        <v>37145</v>
      </c>
      <c r="G20" s="655">
        <f t="shared" si="9"/>
        <v>60327</v>
      </c>
      <c r="H20" s="655">
        <f t="shared" si="9"/>
        <v>0</v>
      </c>
      <c r="I20" s="655">
        <f t="shared" si="9"/>
        <v>0</v>
      </c>
      <c r="J20" s="655">
        <f t="shared" si="9"/>
        <v>0</v>
      </c>
      <c r="K20" s="655">
        <f t="shared" si="9"/>
        <v>0</v>
      </c>
      <c r="L20" s="655">
        <f t="shared" si="9"/>
        <v>0</v>
      </c>
      <c r="M20" s="655">
        <f t="shared" si="9"/>
        <v>0</v>
      </c>
      <c r="N20" s="655">
        <f t="shared" si="9"/>
        <v>0</v>
      </c>
      <c r="O20" s="467"/>
    </row>
    <row r="21" spans="1:15" s="920" customFormat="1" ht="26.25" customHeight="1">
      <c r="A21" s="921" t="s">
        <v>142</v>
      </c>
      <c r="B21" s="922" t="s">
        <v>141</v>
      </c>
      <c r="C21" s="656">
        <f>SUM(C54+C78+C102+C126+C151+C175+C199+C223)</f>
        <v>945221</v>
      </c>
      <c r="D21" s="655">
        <f t="shared" si="8"/>
        <v>306355</v>
      </c>
      <c r="E21" s="780">
        <f t="shared" si="6"/>
        <v>456828</v>
      </c>
      <c r="F21" s="655">
        <f t="shared" si="9"/>
        <v>15292</v>
      </c>
      <c r="G21" s="655">
        <f t="shared" si="9"/>
        <v>441536</v>
      </c>
      <c r="H21" s="655">
        <f t="shared" si="9"/>
        <v>0</v>
      </c>
      <c r="I21" s="655">
        <f t="shared" si="9"/>
        <v>141935</v>
      </c>
      <c r="J21" s="655">
        <f t="shared" si="9"/>
        <v>33144</v>
      </c>
      <c r="K21" s="655">
        <f t="shared" si="9"/>
        <v>0</v>
      </c>
      <c r="L21" s="655">
        <f t="shared" si="9"/>
        <v>0</v>
      </c>
      <c r="M21" s="655">
        <f t="shared" si="9"/>
        <v>0</v>
      </c>
      <c r="N21" s="655">
        <f t="shared" si="9"/>
        <v>6959</v>
      </c>
      <c r="O21" s="467"/>
    </row>
    <row r="22" spans="1:15" s="920" customFormat="1" ht="26.25" customHeight="1">
      <c r="A22" s="921" t="s">
        <v>144</v>
      </c>
      <c r="B22" s="922" t="s">
        <v>143</v>
      </c>
      <c r="C22" s="656">
        <f>SUM(C55+C79+C103+C127+C152+C176+C200+C224)</f>
        <v>235858</v>
      </c>
      <c r="D22" s="655">
        <f t="shared" si="8"/>
        <v>235858</v>
      </c>
      <c r="E22" s="915">
        <f t="shared" si="6"/>
        <v>0</v>
      </c>
      <c r="F22" s="655">
        <f t="shared" si="9"/>
        <v>0</v>
      </c>
      <c r="G22" s="655">
        <f t="shared" si="9"/>
        <v>0</v>
      </c>
      <c r="H22" s="655">
        <f t="shared" si="9"/>
        <v>0</v>
      </c>
      <c r="I22" s="655">
        <f t="shared" si="9"/>
        <v>0</v>
      </c>
      <c r="J22" s="655">
        <f t="shared" si="9"/>
        <v>0</v>
      </c>
      <c r="K22" s="655">
        <f t="shared" si="9"/>
        <v>0</v>
      </c>
      <c r="L22" s="655">
        <f t="shared" si="9"/>
        <v>0</v>
      </c>
      <c r="M22" s="655">
        <f t="shared" si="9"/>
        <v>0</v>
      </c>
      <c r="N22" s="655">
        <f t="shared" si="9"/>
        <v>0</v>
      </c>
      <c r="O22" s="467"/>
    </row>
    <row r="23" spans="1:15" s="920" customFormat="1" ht="26.25" customHeight="1">
      <c r="A23" s="921" t="s">
        <v>146</v>
      </c>
      <c r="B23" s="922" t="s">
        <v>145</v>
      </c>
      <c r="C23" s="656">
        <f>SUM(D23,E23,H23:N23)</f>
        <v>0</v>
      </c>
      <c r="D23" s="655">
        <f t="shared" si="8"/>
        <v>0</v>
      </c>
      <c r="E23" s="661">
        <f t="shared" si="6"/>
        <v>0</v>
      </c>
      <c r="F23" s="655">
        <f t="shared" si="9"/>
        <v>0</v>
      </c>
      <c r="G23" s="655">
        <f t="shared" si="9"/>
        <v>0</v>
      </c>
      <c r="H23" s="655">
        <f t="shared" si="9"/>
        <v>0</v>
      </c>
      <c r="I23" s="655">
        <f t="shared" si="9"/>
        <v>0</v>
      </c>
      <c r="J23" s="655">
        <f t="shared" si="9"/>
        <v>0</v>
      </c>
      <c r="K23" s="655">
        <f t="shared" si="9"/>
        <v>0</v>
      </c>
      <c r="L23" s="655">
        <f t="shared" si="9"/>
        <v>0</v>
      </c>
      <c r="M23" s="655">
        <f t="shared" si="9"/>
        <v>0</v>
      </c>
      <c r="N23" s="655">
        <f t="shared" si="9"/>
        <v>0</v>
      </c>
      <c r="O23" s="467"/>
    </row>
    <row r="24" spans="1:15" s="920" customFormat="1" ht="26.25" customHeight="1">
      <c r="A24" s="921" t="s">
        <v>148</v>
      </c>
      <c r="B24" s="925" t="s">
        <v>147</v>
      </c>
      <c r="C24" s="656">
        <f>SUM(D24,E24,H24:N24)</f>
        <v>0</v>
      </c>
      <c r="D24" s="655">
        <f t="shared" si="8"/>
        <v>0</v>
      </c>
      <c r="E24" s="656">
        <f>SUM(F24:G24)</f>
        <v>0</v>
      </c>
      <c r="F24" s="655">
        <f t="shared" si="9"/>
        <v>0</v>
      </c>
      <c r="G24" s="655">
        <f t="shared" si="9"/>
        <v>0</v>
      </c>
      <c r="H24" s="655">
        <f t="shared" si="9"/>
        <v>0</v>
      </c>
      <c r="I24" s="655">
        <f t="shared" si="9"/>
        <v>0</v>
      </c>
      <c r="J24" s="655">
        <f t="shared" si="9"/>
        <v>0</v>
      </c>
      <c r="K24" s="655">
        <f t="shared" si="9"/>
        <v>0</v>
      </c>
      <c r="L24" s="655">
        <f t="shared" si="9"/>
        <v>0</v>
      </c>
      <c r="M24" s="655">
        <f t="shared" si="9"/>
        <v>0</v>
      </c>
      <c r="N24" s="655">
        <f t="shared" si="9"/>
        <v>0</v>
      </c>
      <c r="O24" s="467"/>
    </row>
    <row r="25" spans="1:15" s="920" customFormat="1" ht="26.25" customHeight="1">
      <c r="A25" s="921" t="s">
        <v>185</v>
      </c>
      <c r="B25" s="922" t="s">
        <v>149</v>
      </c>
      <c r="C25" s="656">
        <f>SUM(D25,E25,H25:N25)</f>
        <v>3968</v>
      </c>
      <c r="D25" s="655">
        <f t="shared" si="8"/>
        <v>1668</v>
      </c>
      <c r="E25" s="916">
        <f>E58+E82+E106+E130+E155+E179+E203+E227</f>
        <v>2300</v>
      </c>
      <c r="F25" s="655">
        <f t="shared" si="9"/>
        <v>0</v>
      </c>
      <c r="G25" s="655">
        <f t="shared" si="9"/>
        <v>2300</v>
      </c>
      <c r="H25" s="655">
        <f t="shared" si="9"/>
        <v>0</v>
      </c>
      <c r="I25" s="655">
        <f t="shared" si="9"/>
        <v>0</v>
      </c>
      <c r="J25" s="655">
        <f t="shared" si="9"/>
        <v>0</v>
      </c>
      <c r="K25" s="655">
        <f t="shared" si="9"/>
        <v>0</v>
      </c>
      <c r="L25" s="655">
        <f t="shared" si="9"/>
        <v>0</v>
      </c>
      <c r="M25" s="655">
        <f t="shared" si="9"/>
        <v>0</v>
      </c>
      <c r="N25" s="655">
        <f t="shared" si="9"/>
        <v>0</v>
      </c>
      <c r="O25" s="467"/>
    </row>
    <row r="26" spans="1:15" s="920" customFormat="1" ht="26.25" customHeight="1">
      <c r="A26" s="20" t="s">
        <v>52</v>
      </c>
      <c r="B26" s="923" t="s">
        <v>150</v>
      </c>
      <c r="C26" s="658">
        <f>C16-C17</f>
        <v>9324344</v>
      </c>
      <c r="D26" s="658">
        <f>D16-D17</f>
        <v>836372</v>
      </c>
      <c r="E26" s="658">
        <f>E16-E17</f>
        <v>8383947</v>
      </c>
      <c r="F26" s="658">
        <f>F16-F17</f>
        <v>1158027</v>
      </c>
      <c r="G26" s="658">
        <f>G16-G17</f>
        <v>7225920</v>
      </c>
      <c r="H26" s="658">
        <f aca="true" t="shared" si="10" ref="H26:N26">H16-H17</f>
        <v>0</v>
      </c>
      <c r="I26" s="658">
        <f t="shared" si="10"/>
        <v>52443</v>
      </c>
      <c r="J26" s="658">
        <f t="shared" si="10"/>
        <v>49658</v>
      </c>
      <c r="K26" s="658">
        <f t="shared" si="10"/>
        <v>1724</v>
      </c>
      <c r="L26" s="658">
        <f t="shared" si="10"/>
        <v>0</v>
      </c>
      <c r="M26" s="658">
        <f t="shared" si="10"/>
        <v>0</v>
      </c>
      <c r="N26" s="658">
        <f t="shared" si="10"/>
        <v>200</v>
      </c>
      <c r="O26" s="467"/>
    </row>
    <row r="27" spans="1:15" s="920" customFormat="1" ht="26.25" customHeight="1">
      <c r="A27" s="926" t="s">
        <v>538</v>
      </c>
      <c r="B27" s="927" t="s">
        <v>730</v>
      </c>
      <c r="C27" s="790">
        <f>(C18+C19+C20)/C17</f>
        <v>0.6658071058717759</v>
      </c>
      <c r="D27" s="790">
        <f>(D18+D19+D20)/D17</f>
        <v>0.3370611487684801</v>
      </c>
      <c r="E27" s="790">
        <f aca="true" t="shared" si="11" ref="E27:N27">(E18+E19+E20)/E17</f>
        <v>0.7297157920887085</v>
      </c>
      <c r="F27" s="790">
        <f t="shared" si="11"/>
        <v>0.8747789059941041</v>
      </c>
      <c r="G27" s="790">
        <f t="shared" si="11"/>
        <v>0.7184792771124076</v>
      </c>
      <c r="H27" s="790">
        <f t="shared" si="11"/>
        <v>1</v>
      </c>
      <c r="I27" s="790">
        <f t="shared" si="11"/>
        <v>0.546886771973286</v>
      </c>
      <c r="J27" s="790">
        <f t="shared" si="11"/>
        <v>0.8730960968549702</v>
      </c>
      <c r="K27" s="790" t="e">
        <f t="shared" si="11"/>
        <v>#DIV/0!</v>
      </c>
      <c r="L27" s="790" t="e">
        <f t="shared" si="11"/>
        <v>#DIV/0!</v>
      </c>
      <c r="M27" s="790" t="e">
        <f t="shared" si="11"/>
        <v>#DIV/0!</v>
      </c>
      <c r="N27" s="790">
        <f t="shared" si="11"/>
        <v>0.9845829714832603</v>
      </c>
      <c r="O27" s="467"/>
    </row>
    <row r="28" spans="1:15" ht="24" customHeight="1">
      <c r="A28" s="746"/>
      <c r="B28" s="747"/>
      <c r="C28" s="748"/>
      <c r="D28" s="749"/>
      <c r="E28" s="748"/>
      <c r="F28" s="749"/>
      <c r="G28" s="749"/>
      <c r="H28" s="749"/>
      <c r="I28" s="749"/>
      <c r="J28" s="749"/>
      <c r="K28" s="749"/>
      <c r="L28" s="749"/>
      <c r="M28" s="749"/>
      <c r="N28" s="749"/>
      <c r="O28" s="413"/>
    </row>
    <row r="29" spans="1:15" ht="33.75" customHeight="1">
      <c r="A29" s="746"/>
      <c r="B29" s="747"/>
      <c r="C29" s="748"/>
      <c r="D29" s="749"/>
      <c r="E29" s="748"/>
      <c r="F29" s="749"/>
      <c r="G29" s="749"/>
      <c r="H29" s="749"/>
      <c r="I29" s="749"/>
      <c r="J29" s="749"/>
      <c r="K29" s="749"/>
      <c r="L29" s="749"/>
      <c r="M29" s="749"/>
      <c r="N29" s="749"/>
      <c r="O29" s="413"/>
    </row>
    <row r="30" spans="1:15" ht="24.75" customHeight="1">
      <c r="A30" s="746"/>
      <c r="B30" s="747"/>
      <c r="C30" s="748"/>
      <c r="D30" s="749"/>
      <c r="E30" s="748"/>
      <c r="F30" s="749"/>
      <c r="G30" s="749"/>
      <c r="H30" s="749"/>
      <c r="I30" s="749"/>
      <c r="J30" s="749"/>
      <c r="K30" s="749"/>
      <c r="L30" s="749"/>
      <c r="M30" s="749"/>
      <c r="N30" s="749"/>
      <c r="O30" s="413"/>
    </row>
    <row r="31" spans="1:15" ht="16.5" customHeight="1">
      <c r="A31" s="746"/>
      <c r="B31" s="747"/>
      <c r="C31" s="748"/>
      <c r="D31" s="749"/>
      <c r="E31" s="748"/>
      <c r="F31" s="749"/>
      <c r="G31" s="749"/>
      <c r="H31" s="749"/>
      <c r="I31" s="749"/>
      <c r="J31" s="749"/>
      <c r="K31" s="749"/>
      <c r="L31" s="749"/>
      <c r="M31" s="749"/>
      <c r="N31" s="749"/>
      <c r="O31" s="413"/>
    </row>
    <row r="32" spans="1:15" ht="0.75" customHeight="1">
      <c r="A32" s="746"/>
      <c r="B32" s="747"/>
      <c r="C32" s="748"/>
      <c r="D32" s="749"/>
      <c r="E32" s="748"/>
      <c r="F32" s="749"/>
      <c r="G32" s="749"/>
      <c r="H32" s="749"/>
      <c r="I32" s="749"/>
      <c r="J32" s="749"/>
      <c r="K32" s="749"/>
      <c r="L32" s="749"/>
      <c r="M32" s="749"/>
      <c r="N32" s="749"/>
      <c r="O32" s="413"/>
    </row>
    <row r="33" spans="1:15" ht="21" customHeight="1">
      <c r="A33" s="746"/>
      <c r="B33" s="747"/>
      <c r="C33" s="748"/>
      <c r="D33" s="749"/>
      <c r="E33" s="748"/>
      <c r="F33" s="749"/>
      <c r="G33" s="749"/>
      <c r="H33" s="749"/>
      <c r="I33" s="749"/>
      <c r="J33" s="749"/>
      <c r="K33" s="749"/>
      <c r="L33" s="749"/>
      <c r="M33" s="749"/>
      <c r="N33" s="749"/>
      <c r="O33" s="413"/>
    </row>
    <row r="34" spans="1:15" ht="18" customHeight="1" hidden="1">
      <c r="A34" s="746"/>
      <c r="B34" s="747"/>
      <c r="C34" s="748"/>
      <c r="D34" s="749"/>
      <c r="E34" s="748"/>
      <c r="F34" s="749"/>
      <c r="G34" s="749"/>
      <c r="H34" s="749"/>
      <c r="I34" s="749"/>
      <c r="J34" s="749"/>
      <c r="K34" s="749"/>
      <c r="L34" s="749"/>
      <c r="M34" s="749"/>
      <c r="N34" s="749"/>
      <c r="O34" s="413"/>
    </row>
    <row r="35" spans="1:15" ht="12.75" customHeight="1" hidden="1">
      <c r="A35" s="746"/>
      <c r="B35" s="747"/>
      <c r="C35" s="748"/>
      <c r="D35" s="749"/>
      <c r="E35" s="748"/>
      <c r="F35" s="749"/>
      <c r="G35" s="749"/>
      <c r="H35" s="749"/>
      <c r="I35" s="749"/>
      <c r="J35" s="749"/>
      <c r="K35" s="749"/>
      <c r="L35" s="749"/>
      <c r="M35" s="749"/>
      <c r="N35" s="749"/>
      <c r="O35" s="413"/>
    </row>
    <row r="36" ht="15" hidden="1"/>
    <row r="37" ht="15" hidden="1">
      <c r="B37" s="675" t="s">
        <v>700</v>
      </c>
    </row>
    <row r="38" ht="15" hidden="1"/>
    <row r="39" spans="1:14" ht="0.75" customHeight="1" hidden="1">
      <c r="A39" s="1272" t="s">
        <v>68</v>
      </c>
      <c r="B39" s="1273"/>
      <c r="C39" s="1279" t="s">
        <v>37</v>
      </c>
      <c r="D39" s="1278" t="s">
        <v>336</v>
      </c>
      <c r="E39" s="1282"/>
      <c r="F39" s="1282"/>
      <c r="G39" s="1282"/>
      <c r="H39" s="1282"/>
      <c r="I39" s="1282"/>
      <c r="J39" s="1282"/>
      <c r="K39" s="1282"/>
      <c r="L39" s="1282"/>
      <c r="M39" s="1282"/>
      <c r="N39" s="1283"/>
    </row>
    <row r="40" spans="1:14" ht="15" hidden="1">
      <c r="A40" s="1274"/>
      <c r="B40" s="1275"/>
      <c r="C40" s="1279"/>
      <c r="D40" s="1262" t="s">
        <v>195</v>
      </c>
      <c r="E40" s="1266" t="s">
        <v>196</v>
      </c>
      <c r="F40" s="1267"/>
      <c r="G40" s="1268"/>
      <c r="H40" s="1262" t="s">
        <v>197</v>
      </c>
      <c r="I40" s="1262" t="s">
        <v>122</v>
      </c>
      <c r="J40" s="1262" t="s">
        <v>198</v>
      </c>
      <c r="K40" s="1262" t="s">
        <v>124</v>
      </c>
      <c r="L40" s="1262" t="s">
        <v>125</v>
      </c>
      <c r="M40" s="1262" t="s">
        <v>126</v>
      </c>
      <c r="N40" s="1302" t="s">
        <v>127</v>
      </c>
    </row>
    <row r="41" spans="1:14" ht="15" hidden="1">
      <c r="A41" s="1274"/>
      <c r="B41" s="1275"/>
      <c r="C41" s="1279"/>
      <c r="D41" s="1262"/>
      <c r="E41" s="1271" t="s">
        <v>36</v>
      </c>
      <c r="F41" s="1264" t="s">
        <v>7</v>
      </c>
      <c r="G41" s="1265"/>
      <c r="H41" s="1262"/>
      <c r="I41" s="1262"/>
      <c r="J41" s="1262"/>
      <c r="K41" s="1262"/>
      <c r="L41" s="1262"/>
      <c r="M41" s="1262"/>
      <c r="N41" s="1302"/>
    </row>
    <row r="42" spans="1:14" ht="15" hidden="1">
      <c r="A42" s="1276"/>
      <c r="B42" s="1277"/>
      <c r="C42" s="1279"/>
      <c r="D42" s="1263"/>
      <c r="E42" s="1263"/>
      <c r="F42" s="557" t="s">
        <v>199</v>
      </c>
      <c r="G42" s="558" t="s">
        <v>200</v>
      </c>
      <c r="H42" s="1263"/>
      <c r="I42" s="1263"/>
      <c r="J42" s="1263"/>
      <c r="K42" s="1263"/>
      <c r="L42" s="1263"/>
      <c r="M42" s="1263"/>
      <c r="N42" s="1302"/>
    </row>
    <row r="43" spans="1:14" ht="1.5" customHeight="1" hidden="1">
      <c r="A43" s="1316" t="s">
        <v>39</v>
      </c>
      <c r="B43" s="1317"/>
      <c r="C43" s="459">
        <v>1</v>
      </c>
      <c r="D43" s="459">
        <v>2</v>
      </c>
      <c r="E43" s="459">
        <v>3</v>
      </c>
      <c r="F43" s="459">
        <v>4</v>
      </c>
      <c r="G43" s="459">
        <v>5</v>
      </c>
      <c r="H43" s="459">
        <v>6</v>
      </c>
      <c r="I43" s="459">
        <v>7</v>
      </c>
      <c r="J43" s="459">
        <v>8</v>
      </c>
      <c r="K43" s="459">
        <v>9</v>
      </c>
      <c r="L43" s="459">
        <v>10</v>
      </c>
      <c r="M43" s="459">
        <v>11</v>
      </c>
      <c r="N43" s="459">
        <v>12</v>
      </c>
    </row>
    <row r="44" spans="1:14" ht="15" hidden="1">
      <c r="A44" s="504" t="s">
        <v>0</v>
      </c>
      <c r="B44" s="426" t="s">
        <v>130</v>
      </c>
      <c r="C44" s="630">
        <f aca="true" t="shared" si="12" ref="C44:C49">SUM(D44,E44,H44:N44)</f>
        <v>5083954</v>
      </c>
      <c r="D44" s="638">
        <f>SUM(D45:D46)</f>
        <v>0</v>
      </c>
      <c r="E44" s="638">
        <f aca="true" t="shared" si="13" ref="E44:J44">SUM(E45:E46)</f>
        <v>4834106</v>
      </c>
      <c r="F44" s="638">
        <f t="shared" si="13"/>
        <v>280369</v>
      </c>
      <c r="G44" s="638">
        <f t="shared" si="13"/>
        <v>4553737</v>
      </c>
      <c r="H44" s="638">
        <f t="shared" si="13"/>
        <v>800</v>
      </c>
      <c r="I44" s="638">
        <f t="shared" si="13"/>
        <v>0</v>
      </c>
      <c r="J44" s="638">
        <f t="shared" si="13"/>
        <v>230957</v>
      </c>
      <c r="K44" s="638">
        <f>SUM(K45:K46)</f>
        <v>0</v>
      </c>
      <c r="L44" s="638">
        <f>SUM(L45:L46)</f>
        <v>0</v>
      </c>
      <c r="M44" s="638">
        <f>SUM(M45:M46)</f>
        <v>0</v>
      </c>
      <c r="N44" s="638">
        <f>SUM(N45:N46)</f>
        <v>18091</v>
      </c>
    </row>
    <row r="45" spans="1:14" ht="15" hidden="1">
      <c r="A45" s="505">
        <v>1</v>
      </c>
      <c r="B45" s="428" t="s">
        <v>131</v>
      </c>
      <c r="C45" s="635">
        <f t="shared" si="12"/>
        <v>4680777</v>
      </c>
      <c r="D45" s="405"/>
      <c r="E45" s="640">
        <f>SUM(F45:G45)</f>
        <v>4643382</v>
      </c>
      <c r="F45" s="405">
        <v>260906</v>
      </c>
      <c r="G45" s="405">
        <v>4382476</v>
      </c>
      <c r="H45" s="405">
        <v>0</v>
      </c>
      <c r="I45" s="405">
        <v>0</v>
      </c>
      <c r="J45" s="405">
        <v>37395</v>
      </c>
      <c r="K45" s="405">
        <v>0</v>
      </c>
      <c r="L45" s="405">
        <v>0</v>
      </c>
      <c r="M45" s="405">
        <v>0</v>
      </c>
      <c r="N45" s="405">
        <v>0</v>
      </c>
    </row>
    <row r="46" spans="1:14" ht="15" hidden="1">
      <c r="A46" s="505">
        <v>2</v>
      </c>
      <c r="B46" s="428" t="s">
        <v>132</v>
      </c>
      <c r="C46" s="635">
        <f t="shared" si="12"/>
        <v>403177</v>
      </c>
      <c r="D46" s="654"/>
      <c r="E46" s="640">
        <f>SUM(F46:G46)</f>
        <v>190724</v>
      </c>
      <c r="F46" s="405">
        <v>19463</v>
      </c>
      <c r="G46" s="405">
        <v>171261</v>
      </c>
      <c r="H46" s="405">
        <v>800</v>
      </c>
      <c r="I46" s="405">
        <v>0</v>
      </c>
      <c r="J46" s="405">
        <v>193562</v>
      </c>
      <c r="K46" s="405">
        <v>0</v>
      </c>
      <c r="L46" s="405">
        <v>0</v>
      </c>
      <c r="M46" s="405">
        <v>0</v>
      </c>
      <c r="N46" s="405">
        <v>18091</v>
      </c>
    </row>
    <row r="47" spans="1:14" ht="15" hidden="1">
      <c r="A47" s="506" t="s">
        <v>1</v>
      </c>
      <c r="B47" s="394" t="s">
        <v>133</v>
      </c>
      <c r="C47" s="635">
        <f t="shared" si="12"/>
        <v>13871</v>
      </c>
      <c r="D47" s="654"/>
      <c r="E47" s="640">
        <f>SUM(F47:G47)</f>
        <v>13871</v>
      </c>
      <c r="F47" s="405">
        <v>0</v>
      </c>
      <c r="G47" s="405">
        <v>13871</v>
      </c>
      <c r="H47" s="405">
        <v>0</v>
      </c>
      <c r="I47" s="405">
        <v>0</v>
      </c>
      <c r="J47" s="405">
        <v>0</v>
      </c>
      <c r="K47" s="405">
        <v>0</v>
      </c>
      <c r="L47" s="405">
        <v>0</v>
      </c>
      <c r="M47" s="405">
        <v>0</v>
      </c>
      <c r="N47" s="405">
        <v>0</v>
      </c>
    </row>
    <row r="48" spans="1:14" ht="15" hidden="1">
      <c r="A48" s="506" t="s">
        <v>9</v>
      </c>
      <c r="B48" s="394" t="s">
        <v>134</v>
      </c>
      <c r="C48" s="635">
        <f t="shared" si="12"/>
        <v>0</v>
      </c>
      <c r="D48" s="405"/>
      <c r="E48" s="640">
        <f>SUM(F48:G48)</f>
        <v>0</v>
      </c>
      <c r="F48" s="405"/>
      <c r="G48" s="405"/>
      <c r="H48" s="405"/>
      <c r="I48" s="405"/>
      <c r="J48" s="405"/>
      <c r="K48" s="405"/>
      <c r="L48" s="405"/>
      <c r="M48" s="405"/>
      <c r="N48" s="405"/>
    </row>
    <row r="49" spans="1:14" ht="15" hidden="1">
      <c r="A49" s="506" t="s">
        <v>135</v>
      </c>
      <c r="B49" s="394" t="s">
        <v>136</v>
      </c>
      <c r="C49" s="630">
        <f t="shared" si="12"/>
        <v>5070083</v>
      </c>
      <c r="D49" s="631">
        <f>D44-D47+D48</f>
        <v>0</v>
      </c>
      <c r="E49" s="631">
        <f aca="true" t="shared" si="14" ref="E49:N49">E44-SUM(E47,E48)</f>
        <v>4820235</v>
      </c>
      <c r="F49" s="631">
        <f t="shared" si="14"/>
        <v>280369</v>
      </c>
      <c r="G49" s="631">
        <f t="shared" si="14"/>
        <v>4539866</v>
      </c>
      <c r="H49" s="631">
        <f t="shared" si="14"/>
        <v>800</v>
      </c>
      <c r="I49" s="631">
        <f t="shared" si="14"/>
        <v>0</v>
      </c>
      <c r="J49" s="631">
        <f t="shared" si="14"/>
        <v>230957</v>
      </c>
      <c r="K49" s="631">
        <f t="shared" si="14"/>
        <v>0</v>
      </c>
      <c r="L49" s="631">
        <f t="shared" si="14"/>
        <v>0</v>
      </c>
      <c r="M49" s="631">
        <f t="shared" si="14"/>
        <v>0</v>
      </c>
      <c r="N49" s="631">
        <f t="shared" si="14"/>
        <v>18091</v>
      </c>
    </row>
    <row r="50" spans="1:14" ht="16.5" customHeight="1" hidden="1">
      <c r="A50" s="506" t="s">
        <v>51</v>
      </c>
      <c r="B50" s="429" t="s">
        <v>137</v>
      </c>
      <c r="C50" s="639">
        <f>SUM(C51:C58)</f>
        <v>555895</v>
      </c>
      <c r="D50" s="639">
        <f>SUM(D51:D58)</f>
        <v>0</v>
      </c>
      <c r="E50" s="639">
        <f>SUM(E51:E58)</f>
        <v>343442</v>
      </c>
      <c r="F50" s="639">
        <f aca="true" t="shared" si="15" ref="F50:N50">SUM(F51:F58)</f>
        <v>35957</v>
      </c>
      <c r="G50" s="639">
        <f t="shared" si="15"/>
        <v>307485</v>
      </c>
      <c r="H50" s="639">
        <f t="shared" si="15"/>
        <v>800</v>
      </c>
      <c r="I50" s="639">
        <f t="shared" si="15"/>
        <v>0</v>
      </c>
      <c r="J50" s="639">
        <f t="shared" si="15"/>
        <v>193562</v>
      </c>
      <c r="K50" s="639">
        <f t="shared" si="15"/>
        <v>0</v>
      </c>
      <c r="L50" s="639">
        <f t="shared" si="15"/>
        <v>0</v>
      </c>
      <c r="M50" s="639">
        <f t="shared" si="15"/>
        <v>0</v>
      </c>
      <c r="N50" s="639">
        <f t="shared" si="15"/>
        <v>18091</v>
      </c>
    </row>
    <row r="51" spans="1:14" ht="18" customHeight="1" hidden="1">
      <c r="A51" s="505" t="s">
        <v>53</v>
      </c>
      <c r="B51" s="428" t="s">
        <v>138</v>
      </c>
      <c r="C51" s="635">
        <f>SUM(D51+E51+H51+I51+J51+K51+L51+M51+N51)</f>
        <v>323752</v>
      </c>
      <c r="D51" s="405"/>
      <c r="E51" s="640">
        <f aca="true" t="shared" si="16" ref="E51:E56">SUM(F51:G51)</f>
        <v>114490</v>
      </c>
      <c r="F51" s="405">
        <v>7200</v>
      </c>
      <c r="G51" s="405">
        <v>107290</v>
      </c>
      <c r="H51" s="405">
        <v>800</v>
      </c>
      <c r="I51" s="405">
        <v>0</v>
      </c>
      <c r="J51" s="405">
        <v>193562</v>
      </c>
      <c r="K51" s="405">
        <v>0</v>
      </c>
      <c r="L51" s="405">
        <v>0</v>
      </c>
      <c r="M51" s="405">
        <v>0</v>
      </c>
      <c r="N51" s="405">
        <v>14900</v>
      </c>
    </row>
    <row r="52" spans="1:14" ht="15" hidden="1">
      <c r="A52" s="505" t="s">
        <v>54</v>
      </c>
      <c r="B52" s="428" t="s">
        <v>139</v>
      </c>
      <c r="C52" s="635">
        <f>SUM(D52,E52,H52:N52)</f>
        <v>14614</v>
      </c>
      <c r="D52" s="654"/>
      <c r="E52" s="640">
        <f t="shared" si="16"/>
        <v>14614</v>
      </c>
      <c r="F52" s="405">
        <v>9639</v>
      </c>
      <c r="G52" s="405">
        <v>4975</v>
      </c>
      <c r="H52" s="405">
        <v>0</v>
      </c>
      <c r="I52" s="405">
        <v>0</v>
      </c>
      <c r="J52" s="405">
        <v>0</v>
      </c>
      <c r="K52" s="405">
        <v>0</v>
      </c>
      <c r="L52" s="405">
        <v>0</v>
      </c>
      <c r="M52" s="405">
        <v>0</v>
      </c>
      <c r="N52" s="405">
        <v>0</v>
      </c>
    </row>
    <row r="53" spans="1:14" ht="15" hidden="1">
      <c r="A53" s="505" t="s">
        <v>140</v>
      </c>
      <c r="B53" s="428" t="s">
        <v>201</v>
      </c>
      <c r="C53" s="635">
        <f>SUM(D53,E53,H53:N53)</f>
        <v>71063</v>
      </c>
      <c r="D53" s="654"/>
      <c r="E53" s="640">
        <f t="shared" si="16"/>
        <v>71063</v>
      </c>
      <c r="F53" s="405">
        <v>19118</v>
      </c>
      <c r="G53" s="405">
        <v>51945</v>
      </c>
      <c r="H53" s="405">
        <v>0</v>
      </c>
      <c r="I53" s="405">
        <v>0</v>
      </c>
      <c r="J53" s="405">
        <v>0</v>
      </c>
      <c r="K53" s="405">
        <v>0</v>
      </c>
      <c r="L53" s="405">
        <v>0</v>
      </c>
      <c r="M53" s="405">
        <v>0</v>
      </c>
      <c r="N53" s="405">
        <v>0</v>
      </c>
    </row>
    <row r="54" spans="1:14" ht="15" hidden="1">
      <c r="A54" s="505" t="s">
        <v>142</v>
      </c>
      <c r="B54" s="428" t="s">
        <v>141</v>
      </c>
      <c r="C54" s="635">
        <f>D54+E54+H54+I54+J54+K54+L54+M54+N54</f>
        <v>146466</v>
      </c>
      <c r="D54" s="654"/>
      <c r="E54" s="640">
        <f t="shared" si="16"/>
        <v>143275</v>
      </c>
      <c r="F54" s="405">
        <v>0</v>
      </c>
      <c r="G54" s="405">
        <v>143275</v>
      </c>
      <c r="H54" s="405">
        <v>0</v>
      </c>
      <c r="I54" s="405">
        <v>0</v>
      </c>
      <c r="J54" s="405">
        <v>0</v>
      </c>
      <c r="K54" s="405">
        <v>0</v>
      </c>
      <c r="L54" s="405">
        <v>0</v>
      </c>
      <c r="M54" s="405">
        <v>0</v>
      </c>
      <c r="N54" s="405">
        <v>3191</v>
      </c>
    </row>
    <row r="55" spans="1:14" ht="15" customHeight="1" hidden="1">
      <c r="A55" s="505" t="s">
        <v>144</v>
      </c>
      <c r="B55" s="428" t="s">
        <v>143</v>
      </c>
      <c r="C55" s="636">
        <f>SUM(D55,E55,H55:N55)</f>
        <v>0</v>
      </c>
      <c r="D55" s="654"/>
      <c r="E55" s="644">
        <f t="shared" si="16"/>
        <v>0</v>
      </c>
      <c r="F55" s="405">
        <v>0</v>
      </c>
      <c r="G55" s="405">
        <v>0</v>
      </c>
      <c r="H55" s="405">
        <v>0</v>
      </c>
      <c r="I55" s="405">
        <v>0</v>
      </c>
      <c r="J55" s="405">
        <v>0</v>
      </c>
      <c r="K55" s="405">
        <v>0</v>
      </c>
      <c r="L55" s="405">
        <v>0</v>
      </c>
      <c r="M55" s="405">
        <v>0</v>
      </c>
      <c r="N55" s="405">
        <v>0</v>
      </c>
    </row>
    <row r="56" spans="1:14" ht="12.75" customHeight="1" hidden="1">
      <c r="A56" s="505" t="s">
        <v>146</v>
      </c>
      <c r="B56" s="428" t="s">
        <v>145</v>
      </c>
      <c r="C56" s="635">
        <f>SUM(D56,E56,H56:N56)</f>
        <v>0</v>
      </c>
      <c r="D56" s="654"/>
      <c r="E56" s="640">
        <f t="shared" si="16"/>
        <v>0</v>
      </c>
      <c r="F56" s="654">
        <v>0</v>
      </c>
      <c r="G56" s="654">
        <v>0</v>
      </c>
      <c r="H56" s="654">
        <v>0</v>
      </c>
      <c r="I56" s="654">
        <v>0</v>
      </c>
      <c r="J56" s="654">
        <v>0</v>
      </c>
      <c r="K56" s="654">
        <v>0</v>
      </c>
      <c r="L56" s="654">
        <v>0</v>
      </c>
      <c r="M56" s="654">
        <v>0</v>
      </c>
      <c r="N56" s="654">
        <v>0</v>
      </c>
    </row>
    <row r="57" spans="1:14" ht="25.5" hidden="1">
      <c r="A57" s="505" t="s">
        <v>148</v>
      </c>
      <c r="B57" s="430" t="s">
        <v>147</v>
      </c>
      <c r="C57" s="635">
        <f>SUM(D57,E57,H57:N57)</f>
        <v>0</v>
      </c>
      <c r="D57" s="654">
        <v>0</v>
      </c>
      <c r="E57" s="640">
        <f>SUM(F57:G57)</f>
        <v>0</v>
      </c>
      <c r="F57" s="654">
        <v>0</v>
      </c>
      <c r="G57" s="654">
        <v>0</v>
      </c>
      <c r="H57" s="654">
        <v>0</v>
      </c>
      <c r="I57" s="654">
        <v>0</v>
      </c>
      <c r="J57" s="654">
        <v>0</v>
      </c>
      <c r="K57" s="654">
        <v>0</v>
      </c>
      <c r="L57" s="654">
        <v>0</v>
      </c>
      <c r="M57" s="654">
        <v>0</v>
      </c>
      <c r="N57" s="654">
        <v>0</v>
      </c>
    </row>
    <row r="58" spans="1:14" ht="15" hidden="1">
      <c r="A58" s="505" t="s">
        <v>185</v>
      </c>
      <c r="B58" s="428" t="s">
        <v>149</v>
      </c>
      <c r="C58" s="635">
        <f>SUM(D58,E58,H58:N58)</f>
        <v>0</v>
      </c>
      <c r="D58" s="654">
        <v>0</v>
      </c>
      <c r="E58" s="640">
        <f>SUM(F58:G58)</f>
        <v>0</v>
      </c>
      <c r="F58" s="654"/>
      <c r="G58" s="654">
        <v>0</v>
      </c>
      <c r="H58" s="654">
        <v>0</v>
      </c>
      <c r="I58" s="654">
        <v>0</v>
      </c>
      <c r="J58" s="654">
        <v>0</v>
      </c>
      <c r="K58" s="654">
        <v>0</v>
      </c>
      <c r="L58" s="654">
        <v>0</v>
      </c>
      <c r="M58" s="654">
        <v>0</v>
      </c>
      <c r="N58" s="654">
        <v>0</v>
      </c>
    </row>
    <row r="59" spans="1:14" ht="15" hidden="1">
      <c r="A59" s="506" t="s">
        <v>52</v>
      </c>
      <c r="B59" s="394" t="s">
        <v>150</v>
      </c>
      <c r="C59" s="630">
        <f>C49-C50</f>
        <v>4514188</v>
      </c>
      <c r="D59" s="630">
        <f>D49-D50</f>
        <v>0</v>
      </c>
      <c r="E59" s="630">
        <f>E49-E50</f>
        <v>4476793</v>
      </c>
      <c r="F59" s="630">
        <f>F49-F50</f>
        <v>244412</v>
      </c>
      <c r="G59" s="630">
        <f>G49-G50</f>
        <v>4232381</v>
      </c>
      <c r="H59" s="630">
        <f aca="true" t="shared" si="17" ref="H59:N59">H49-H50</f>
        <v>0</v>
      </c>
      <c r="I59" s="630">
        <f t="shared" si="17"/>
        <v>0</v>
      </c>
      <c r="J59" s="630">
        <f t="shared" si="17"/>
        <v>37395</v>
      </c>
      <c r="K59" s="630">
        <f t="shared" si="17"/>
        <v>0</v>
      </c>
      <c r="L59" s="630">
        <f t="shared" si="17"/>
        <v>0</v>
      </c>
      <c r="M59" s="630">
        <f t="shared" si="17"/>
        <v>0</v>
      </c>
      <c r="N59" s="630">
        <f t="shared" si="17"/>
        <v>0</v>
      </c>
    </row>
    <row r="60" spans="1:14" ht="24" hidden="1">
      <c r="A60" s="532" t="s">
        <v>538</v>
      </c>
      <c r="B60" s="462" t="s">
        <v>202</v>
      </c>
      <c r="C60" s="530">
        <f>(C51+C52+C53)/C50</f>
        <v>0.7365221849449987</v>
      </c>
      <c r="D60" s="531" t="e">
        <f aca="true" t="shared" si="18" ref="D60:N60">(D51+D52+D53)/D50</f>
        <v>#DIV/0!</v>
      </c>
      <c r="E60" s="530">
        <f t="shared" si="18"/>
        <v>0.5828262122862085</v>
      </c>
      <c r="F60" s="531">
        <f t="shared" si="18"/>
        <v>1</v>
      </c>
      <c r="G60" s="531">
        <f t="shared" si="18"/>
        <v>0.534042311007041</v>
      </c>
      <c r="H60" s="531">
        <f t="shared" si="18"/>
        <v>1</v>
      </c>
      <c r="I60" s="531" t="e">
        <f t="shared" si="18"/>
        <v>#DIV/0!</v>
      </c>
      <c r="J60" s="531">
        <f t="shared" si="18"/>
        <v>1</v>
      </c>
      <c r="K60" s="531" t="e">
        <f t="shared" si="18"/>
        <v>#DIV/0!</v>
      </c>
      <c r="L60" s="531" t="e">
        <f t="shared" si="18"/>
        <v>#DIV/0!</v>
      </c>
      <c r="M60" s="531" t="e">
        <f t="shared" si="18"/>
        <v>#DIV/0!</v>
      </c>
      <c r="N60" s="531">
        <f t="shared" si="18"/>
        <v>0.823613951688685</v>
      </c>
    </row>
    <row r="61" ht="15" hidden="1"/>
    <row r="62" ht="15" hidden="1">
      <c r="B62" s="718" t="s">
        <v>701</v>
      </c>
    </row>
    <row r="63" spans="1:14" ht="1.5" customHeight="1" hidden="1">
      <c r="A63" s="1272" t="s">
        <v>68</v>
      </c>
      <c r="B63" s="1273"/>
      <c r="C63" s="1279" t="s">
        <v>37</v>
      </c>
      <c r="D63" s="1278" t="s">
        <v>336</v>
      </c>
      <c r="E63" s="1282"/>
      <c r="F63" s="1282"/>
      <c r="G63" s="1282"/>
      <c r="H63" s="1282"/>
      <c r="I63" s="1282"/>
      <c r="J63" s="1282"/>
      <c r="K63" s="1282"/>
      <c r="L63" s="1282"/>
      <c r="M63" s="1282"/>
      <c r="N63" s="1283"/>
    </row>
    <row r="64" spans="1:14" ht="15" hidden="1">
      <c r="A64" s="1274"/>
      <c r="B64" s="1275"/>
      <c r="C64" s="1279"/>
      <c r="D64" s="1262" t="s">
        <v>195</v>
      </c>
      <c r="E64" s="1266" t="s">
        <v>196</v>
      </c>
      <c r="F64" s="1267"/>
      <c r="G64" s="1268"/>
      <c r="H64" s="1262" t="s">
        <v>197</v>
      </c>
      <c r="I64" s="1262" t="s">
        <v>122</v>
      </c>
      <c r="J64" s="1262" t="s">
        <v>198</v>
      </c>
      <c r="K64" s="1262" t="s">
        <v>124</v>
      </c>
      <c r="L64" s="1262" t="s">
        <v>125</v>
      </c>
      <c r="M64" s="1262" t="s">
        <v>126</v>
      </c>
      <c r="N64" s="1302" t="s">
        <v>127</v>
      </c>
    </row>
    <row r="65" spans="1:14" ht="15" hidden="1">
      <c r="A65" s="1274"/>
      <c r="B65" s="1275"/>
      <c r="C65" s="1279"/>
      <c r="D65" s="1262"/>
      <c r="E65" s="1271" t="s">
        <v>36</v>
      </c>
      <c r="F65" s="1264" t="s">
        <v>7</v>
      </c>
      <c r="G65" s="1265"/>
      <c r="H65" s="1262"/>
      <c r="I65" s="1262"/>
      <c r="J65" s="1262"/>
      <c r="K65" s="1262"/>
      <c r="L65" s="1262"/>
      <c r="M65" s="1262"/>
      <c r="N65" s="1302"/>
    </row>
    <row r="66" spans="1:14" ht="15" hidden="1">
      <c r="A66" s="1276"/>
      <c r="B66" s="1277"/>
      <c r="C66" s="1279"/>
      <c r="D66" s="1263"/>
      <c r="E66" s="1263"/>
      <c r="F66" s="557" t="s">
        <v>199</v>
      </c>
      <c r="G66" s="558" t="s">
        <v>200</v>
      </c>
      <c r="H66" s="1263"/>
      <c r="I66" s="1263"/>
      <c r="J66" s="1263"/>
      <c r="K66" s="1263"/>
      <c r="L66" s="1263"/>
      <c r="M66" s="1263"/>
      <c r="N66" s="1302"/>
    </row>
    <row r="67" spans="1:14" ht="15.75" hidden="1">
      <c r="A67" s="1316" t="s">
        <v>39</v>
      </c>
      <c r="B67" s="1317"/>
      <c r="C67" s="459">
        <v>1</v>
      </c>
      <c r="D67" s="459">
        <v>2</v>
      </c>
      <c r="E67" s="459">
        <v>3</v>
      </c>
      <c r="F67" s="459">
        <v>4</v>
      </c>
      <c r="G67" s="459">
        <v>5</v>
      </c>
      <c r="H67" s="459">
        <v>6</v>
      </c>
      <c r="I67" s="459">
        <v>7</v>
      </c>
      <c r="J67" s="459">
        <v>8</v>
      </c>
      <c r="K67" s="459">
        <v>9</v>
      </c>
      <c r="L67" s="459">
        <v>10</v>
      </c>
      <c r="M67" s="459">
        <v>11</v>
      </c>
      <c r="N67" s="459">
        <v>12</v>
      </c>
    </row>
    <row r="68" spans="1:14" ht="15" hidden="1">
      <c r="A68" s="504" t="s">
        <v>0</v>
      </c>
      <c r="B68" s="426" t="s">
        <v>130</v>
      </c>
      <c r="C68" s="630">
        <f aca="true" t="shared" si="19" ref="C68:C73">SUM(D68,E68,H68:N68)</f>
        <v>2200299</v>
      </c>
      <c r="D68" s="638">
        <f>SUM(D69:D70)</f>
        <v>1048226</v>
      </c>
      <c r="E68" s="638">
        <f aca="true" t="shared" si="20" ref="E68:J68">SUM(E69:E70)</f>
        <v>676004</v>
      </c>
      <c r="F68" s="638">
        <f t="shared" si="20"/>
        <v>315808</v>
      </c>
      <c r="G68" s="638">
        <f t="shared" si="20"/>
        <v>360196</v>
      </c>
      <c r="H68" s="638">
        <f t="shared" si="20"/>
        <v>0</v>
      </c>
      <c r="I68" s="638">
        <f t="shared" si="20"/>
        <v>180844</v>
      </c>
      <c r="J68" s="638">
        <f t="shared" si="20"/>
        <v>69481</v>
      </c>
      <c r="K68" s="638">
        <f>SUM(K69:K70)</f>
        <v>1724</v>
      </c>
      <c r="L68" s="638">
        <f>SUM(L69:L70)</f>
        <v>0</v>
      </c>
      <c r="M68" s="638">
        <f>SUM(M69:M70)</f>
        <v>0</v>
      </c>
      <c r="N68" s="638">
        <f>SUM(N69:N70)</f>
        <v>224020</v>
      </c>
    </row>
    <row r="69" spans="1:14" ht="15" hidden="1">
      <c r="A69" s="505">
        <v>1</v>
      </c>
      <c r="B69" s="428" t="s">
        <v>131</v>
      </c>
      <c r="C69" s="635">
        <f t="shared" si="19"/>
        <v>1541921</v>
      </c>
      <c r="D69" s="405">
        <v>866285</v>
      </c>
      <c r="E69" s="640">
        <f>SUM(F69:G69)</f>
        <v>562380</v>
      </c>
      <c r="F69" s="405">
        <v>310216</v>
      </c>
      <c r="G69" s="405">
        <v>252164</v>
      </c>
      <c r="H69" s="405">
        <v>0</v>
      </c>
      <c r="I69" s="405">
        <v>109663</v>
      </c>
      <c r="J69" s="405">
        <v>1869</v>
      </c>
      <c r="K69" s="405">
        <v>1724</v>
      </c>
      <c r="L69" s="405">
        <v>0</v>
      </c>
      <c r="M69" s="405">
        <v>0</v>
      </c>
      <c r="N69" s="405">
        <v>0</v>
      </c>
    </row>
    <row r="70" spans="1:14" ht="13.5" customHeight="1" hidden="1">
      <c r="A70" s="505">
        <v>2</v>
      </c>
      <c r="B70" s="428" t="s">
        <v>132</v>
      </c>
      <c r="C70" s="635">
        <f t="shared" si="19"/>
        <v>658378</v>
      </c>
      <c r="D70" s="405">
        <v>181941</v>
      </c>
      <c r="E70" s="640">
        <f>SUM(F70:G70)</f>
        <v>113624</v>
      </c>
      <c r="F70" s="405">
        <v>5592</v>
      </c>
      <c r="G70" s="405">
        <v>108032</v>
      </c>
      <c r="H70" s="405">
        <v>0</v>
      </c>
      <c r="I70" s="405">
        <v>71181</v>
      </c>
      <c r="J70" s="405">
        <v>67612</v>
      </c>
      <c r="K70" s="405">
        <v>0</v>
      </c>
      <c r="L70" s="405">
        <v>0</v>
      </c>
      <c r="M70" s="405">
        <v>0</v>
      </c>
      <c r="N70" s="405">
        <v>224020</v>
      </c>
    </row>
    <row r="71" spans="1:14" ht="15" hidden="1">
      <c r="A71" s="506" t="s">
        <v>1</v>
      </c>
      <c r="B71" s="394" t="s">
        <v>133</v>
      </c>
      <c r="C71" s="635">
        <f t="shared" si="19"/>
        <v>105782</v>
      </c>
      <c r="D71" s="405">
        <v>104282</v>
      </c>
      <c r="E71" s="640">
        <f>SUM(F71:G71)</f>
        <v>1500</v>
      </c>
      <c r="F71" s="405">
        <v>200</v>
      </c>
      <c r="G71" s="405">
        <v>1300</v>
      </c>
      <c r="H71" s="405">
        <v>0</v>
      </c>
      <c r="I71" s="405">
        <v>0</v>
      </c>
      <c r="J71" s="405">
        <v>0</v>
      </c>
      <c r="K71" s="405">
        <v>0</v>
      </c>
      <c r="L71" s="405">
        <v>0</v>
      </c>
      <c r="M71" s="405">
        <v>0</v>
      </c>
      <c r="N71" s="405">
        <v>0</v>
      </c>
    </row>
    <row r="72" spans="1:14" ht="1.5" customHeight="1" hidden="1">
      <c r="A72" s="506" t="s">
        <v>9</v>
      </c>
      <c r="B72" s="394" t="s">
        <v>134</v>
      </c>
      <c r="C72" s="635">
        <f t="shared" si="19"/>
        <v>0</v>
      </c>
      <c r="D72" s="405"/>
      <c r="E72" s="640">
        <f>SUM(F72:G72)</f>
        <v>0</v>
      </c>
      <c r="F72" s="405"/>
      <c r="G72" s="405"/>
      <c r="H72" s="405"/>
      <c r="I72" s="405"/>
      <c r="J72" s="405"/>
      <c r="K72" s="405"/>
      <c r="L72" s="405"/>
      <c r="M72" s="405"/>
      <c r="N72" s="405"/>
    </row>
    <row r="73" spans="1:14" ht="15" hidden="1">
      <c r="A73" s="506" t="s">
        <v>135</v>
      </c>
      <c r="B73" s="394" t="s">
        <v>136</v>
      </c>
      <c r="C73" s="630">
        <f t="shared" si="19"/>
        <v>2094517</v>
      </c>
      <c r="D73" s="631">
        <f>D68-D71+D72</f>
        <v>943944</v>
      </c>
      <c r="E73" s="631">
        <f aca="true" t="shared" si="21" ref="E73:N73">E68-SUM(E71,E72)</f>
        <v>674504</v>
      </c>
      <c r="F73" s="631">
        <f t="shared" si="21"/>
        <v>315608</v>
      </c>
      <c r="G73" s="631">
        <f t="shared" si="21"/>
        <v>358896</v>
      </c>
      <c r="H73" s="631">
        <f t="shared" si="21"/>
        <v>0</v>
      </c>
      <c r="I73" s="631">
        <f t="shared" si="21"/>
        <v>180844</v>
      </c>
      <c r="J73" s="631">
        <f t="shared" si="21"/>
        <v>69481</v>
      </c>
      <c r="K73" s="631">
        <f t="shared" si="21"/>
        <v>1724</v>
      </c>
      <c r="L73" s="631">
        <f t="shared" si="21"/>
        <v>0</v>
      </c>
      <c r="M73" s="631">
        <f t="shared" si="21"/>
        <v>0</v>
      </c>
      <c r="N73" s="631">
        <f t="shared" si="21"/>
        <v>224020</v>
      </c>
    </row>
    <row r="74" spans="1:14" ht="15" hidden="1">
      <c r="A74" s="506" t="s">
        <v>51</v>
      </c>
      <c r="B74" s="429" t="s">
        <v>137</v>
      </c>
      <c r="C74" s="639">
        <f>SUM(C75:C82)</f>
        <v>1031459</v>
      </c>
      <c r="D74" s="639">
        <f>SUM(D75:D82)</f>
        <v>440213</v>
      </c>
      <c r="E74" s="639">
        <f>SUM(E75:E82)</f>
        <v>130241</v>
      </c>
      <c r="F74" s="639">
        <f aca="true" t="shared" si="22" ref="F74:N74">SUM(F75:F82)</f>
        <v>9756</v>
      </c>
      <c r="G74" s="639">
        <f t="shared" si="22"/>
        <v>120485</v>
      </c>
      <c r="H74" s="639">
        <f t="shared" si="22"/>
        <v>0</v>
      </c>
      <c r="I74" s="639">
        <f t="shared" si="22"/>
        <v>169373</v>
      </c>
      <c r="J74" s="639">
        <f t="shared" si="22"/>
        <v>67612</v>
      </c>
      <c r="K74" s="639">
        <f t="shared" si="22"/>
        <v>0</v>
      </c>
      <c r="L74" s="639">
        <f t="shared" si="22"/>
        <v>0</v>
      </c>
      <c r="M74" s="639">
        <f t="shared" si="22"/>
        <v>0</v>
      </c>
      <c r="N74" s="639">
        <f t="shared" si="22"/>
        <v>224020</v>
      </c>
    </row>
    <row r="75" spans="1:14" ht="15" hidden="1">
      <c r="A75" s="505" t="s">
        <v>53</v>
      </c>
      <c r="B75" s="428" t="s">
        <v>138</v>
      </c>
      <c r="C75" s="635">
        <f>SUM(D75+E75+H75+I75+J75+K75+L75+M75+N75)</f>
        <v>543950</v>
      </c>
      <c r="D75" s="405">
        <v>93098</v>
      </c>
      <c r="E75" s="640">
        <f aca="true" t="shared" si="23" ref="E75:E80">SUM(F75:G75)</f>
        <v>101341</v>
      </c>
      <c r="F75" s="405">
        <v>5392</v>
      </c>
      <c r="G75" s="405">
        <v>95949</v>
      </c>
      <c r="H75" s="405">
        <v>0</v>
      </c>
      <c r="I75" s="405">
        <v>91544</v>
      </c>
      <c r="J75" s="405">
        <v>34468</v>
      </c>
      <c r="K75" s="405">
        <v>0</v>
      </c>
      <c r="L75" s="405">
        <v>0</v>
      </c>
      <c r="M75" s="405">
        <v>0</v>
      </c>
      <c r="N75" s="405">
        <v>223499</v>
      </c>
    </row>
    <row r="76" spans="1:14" ht="15" hidden="1">
      <c r="A76" s="505" t="s">
        <v>54</v>
      </c>
      <c r="B76" s="428" t="s">
        <v>139</v>
      </c>
      <c r="C76" s="635">
        <f>SUM(D76,E76,H76:N76)</f>
        <v>0</v>
      </c>
      <c r="D76" s="405">
        <v>0</v>
      </c>
      <c r="E76" s="640">
        <f t="shared" si="23"/>
        <v>0</v>
      </c>
      <c r="F76" s="405">
        <v>0</v>
      </c>
      <c r="G76" s="405">
        <v>0</v>
      </c>
      <c r="H76" s="405">
        <v>0</v>
      </c>
      <c r="I76" s="405">
        <v>0</v>
      </c>
      <c r="J76" s="405">
        <v>0</v>
      </c>
      <c r="K76" s="405">
        <v>0</v>
      </c>
      <c r="L76" s="405">
        <v>0</v>
      </c>
      <c r="M76" s="405">
        <v>0</v>
      </c>
      <c r="N76" s="405">
        <v>0</v>
      </c>
    </row>
    <row r="77" spans="1:14" ht="15" hidden="1">
      <c r="A77" s="505" t="s">
        <v>140</v>
      </c>
      <c r="B77" s="428" t="s">
        <v>201</v>
      </c>
      <c r="C77" s="635">
        <f>SUM(D77,E77,H77:N77)</f>
        <v>0</v>
      </c>
      <c r="D77" s="405">
        <v>0</v>
      </c>
      <c r="E77" s="640">
        <f t="shared" si="23"/>
        <v>0</v>
      </c>
      <c r="F77" s="405">
        <v>0</v>
      </c>
      <c r="G77" s="405">
        <v>0</v>
      </c>
      <c r="H77" s="405">
        <v>0</v>
      </c>
      <c r="I77" s="405">
        <v>0</v>
      </c>
      <c r="J77" s="405">
        <v>0</v>
      </c>
      <c r="K77" s="405">
        <v>0</v>
      </c>
      <c r="L77" s="405">
        <v>0</v>
      </c>
      <c r="M77" s="405">
        <v>0</v>
      </c>
      <c r="N77" s="405">
        <v>0</v>
      </c>
    </row>
    <row r="78" spans="1:14" ht="15" hidden="1">
      <c r="A78" s="505" t="s">
        <v>142</v>
      </c>
      <c r="B78" s="428" t="s">
        <v>141</v>
      </c>
      <c r="C78" s="635">
        <f>D78+E78+H78+I78+J78+K78+L78+M78+N78</f>
        <v>273857</v>
      </c>
      <c r="D78" s="405">
        <v>133463</v>
      </c>
      <c r="E78" s="640">
        <f t="shared" si="23"/>
        <v>28900</v>
      </c>
      <c r="F78" s="405">
        <v>4364</v>
      </c>
      <c r="G78" s="405">
        <v>24536</v>
      </c>
      <c r="H78" s="405">
        <v>0</v>
      </c>
      <c r="I78" s="405">
        <v>77829</v>
      </c>
      <c r="J78" s="405">
        <v>33144</v>
      </c>
      <c r="K78" s="405">
        <v>0</v>
      </c>
      <c r="L78" s="405">
        <v>0</v>
      </c>
      <c r="M78" s="405">
        <v>0</v>
      </c>
      <c r="N78" s="405">
        <v>521</v>
      </c>
    </row>
    <row r="79" spans="1:14" ht="15" hidden="1">
      <c r="A79" s="505" t="s">
        <v>144</v>
      </c>
      <c r="B79" s="428" t="s">
        <v>143</v>
      </c>
      <c r="C79" s="636">
        <f>SUM(D79,E79,H79:N79)</f>
        <v>213652</v>
      </c>
      <c r="D79" s="405">
        <v>213652</v>
      </c>
      <c r="E79" s="644">
        <f t="shared" si="23"/>
        <v>0</v>
      </c>
      <c r="F79" s="405">
        <v>0</v>
      </c>
      <c r="G79" s="405">
        <v>0</v>
      </c>
      <c r="H79" s="405">
        <v>0</v>
      </c>
      <c r="I79" s="405">
        <v>0</v>
      </c>
      <c r="J79" s="405">
        <v>0</v>
      </c>
      <c r="K79" s="405">
        <v>0</v>
      </c>
      <c r="L79" s="405">
        <v>0</v>
      </c>
      <c r="M79" s="405">
        <v>0</v>
      </c>
      <c r="N79" s="405">
        <v>0</v>
      </c>
    </row>
    <row r="80" spans="1:14" ht="15" hidden="1">
      <c r="A80" s="505" t="s">
        <v>146</v>
      </c>
      <c r="B80" s="428" t="s">
        <v>145</v>
      </c>
      <c r="C80" s="635">
        <f>SUM(D80,E80,H80:N80)</f>
        <v>0</v>
      </c>
      <c r="D80" s="405">
        <v>0</v>
      </c>
      <c r="E80" s="640">
        <f t="shared" si="23"/>
        <v>0</v>
      </c>
      <c r="F80" s="405">
        <v>0</v>
      </c>
      <c r="G80" s="405">
        <v>0</v>
      </c>
      <c r="H80" s="405">
        <v>0</v>
      </c>
      <c r="I80" s="405">
        <v>0</v>
      </c>
      <c r="J80" s="405">
        <v>0</v>
      </c>
      <c r="K80" s="405">
        <v>0</v>
      </c>
      <c r="L80" s="405">
        <v>0</v>
      </c>
      <c r="M80" s="405">
        <v>0</v>
      </c>
      <c r="N80" s="405">
        <v>0</v>
      </c>
    </row>
    <row r="81" spans="1:14" ht="25.5" hidden="1">
      <c r="A81" s="505" t="s">
        <v>148</v>
      </c>
      <c r="B81" s="430" t="s">
        <v>147</v>
      </c>
      <c r="C81" s="635">
        <f>SUM(D81,E81,H81:N81)</f>
        <v>0</v>
      </c>
      <c r="D81" s="405">
        <v>0</v>
      </c>
      <c r="E81" s="640">
        <f>SUM(F81:G81)</f>
        <v>0</v>
      </c>
      <c r="F81" s="405">
        <v>0</v>
      </c>
      <c r="G81" s="405">
        <v>0</v>
      </c>
      <c r="H81" s="405">
        <v>0</v>
      </c>
      <c r="I81" s="405">
        <v>0</v>
      </c>
      <c r="J81" s="405">
        <v>0</v>
      </c>
      <c r="K81" s="405">
        <v>0</v>
      </c>
      <c r="L81" s="405">
        <v>0</v>
      </c>
      <c r="M81" s="405">
        <v>0</v>
      </c>
      <c r="N81" s="405">
        <v>0</v>
      </c>
    </row>
    <row r="82" spans="1:14" ht="15.75" customHeight="1" hidden="1">
      <c r="A82" s="505" t="s">
        <v>185</v>
      </c>
      <c r="B82" s="428" t="s">
        <v>149</v>
      </c>
      <c r="C82" s="635">
        <f>SUM(D82,E82,H82:N82)</f>
        <v>0</v>
      </c>
      <c r="D82" s="405">
        <v>0</v>
      </c>
      <c r="E82" s="640">
        <f>SUM(F82:G82)</f>
        <v>0</v>
      </c>
      <c r="F82" s="405">
        <v>0</v>
      </c>
      <c r="G82" s="405">
        <v>0</v>
      </c>
      <c r="H82" s="405">
        <v>0</v>
      </c>
      <c r="I82" s="405"/>
      <c r="J82" s="405">
        <v>0</v>
      </c>
      <c r="K82" s="405">
        <v>0</v>
      </c>
      <c r="L82" s="405">
        <v>0</v>
      </c>
      <c r="M82" s="405">
        <v>0</v>
      </c>
      <c r="N82" s="405">
        <v>0</v>
      </c>
    </row>
    <row r="83" spans="1:14" ht="21" customHeight="1" hidden="1">
      <c r="A83" s="506" t="s">
        <v>52</v>
      </c>
      <c r="B83" s="394" t="s">
        <v>150</v>
      </c>
      <c r="C83" s="630">
        <f>C73-C74</f>
        <v>1063058</v>
      </c>
      <c r="D83" s="630">
        <f>D73-D74</f>
        <v>503731</v>
      </c>
      <c r="E83" s="630">
        <f>E73-E74</f>
        <v>544263</v>
      </c>
      <c r="F83" s="630">
        <f>F73-F74</f>
        <v>305852</v>
      </c>
      <c r="G83" s="630">
        <f>G73-G74</f>
        <v>238411</v>
      </c>
      <c r="H83" s="630">
        <f aca="true" t="shared" si="24" ref="H83:N83">H73-H74</f>
        <v>0</v>
      </c>
      <c r="I83" s="630">
        <f t="shared" si="24"/>
        <v>11471</v>
      </c>
      <c r="J83" s="630">
        <f t="shared" si="24"/>
        <v>1869</v>
      </c>
      <c r="K83" s="630">
        <f t="shared" si="24"/>
        <v>1724</v>
      </c>
      <c r="L83" s="630">
        <f t="shared" si="24"/>
        <v>0</v>
      </c>
      <c r="M83" s="630">
        <f t="shared" si="24"/>
        <v>0</v>
      </c>
      <c r="N83" s="630">
        <f t="shared" si="24"/>
        <v>0</v>
      </c>
    </row>
    <row r="84" spans="1:14" ht="13.5" customHeight="1" hidden="1">
      <c r="A84" s="532" t="s">
        <v>538</v>
      </c>
      <c r="B84" s="462" t="s">
        <v>202</v>
      </c>
      <c r="C84" s="530">
        <f>(C75+C76+C77)/C74</f>
        <v>0.5273597884162143</v>
      </c>
      <c r="D84" s="531">
        <f aca="true" t="shared" si="25" ref="D84:N84">(D75+D76+D77)/D74</f>
        <v>0.21148398616124467</v>
      </c>
      <c r="E84" s="530">
        <f t="shared" si="25"/>
        <v>0.7781036693514332</v>
      </c>
      <c r="F84" s="531">
        <f t="shared" si="25"/>
        <v>0.5526855268552685</v>
      </c>
      <c r="G84" s="531">
        <f t="shared" si="25"/>
        <v>0.7963563929119808</v>
      </c>
      <c r="H84" s="531" t="e">
        <f t="shared" si="25"/>
        <v>#DIV/0!</v>
      </c>
      <c r="I84" s="531">
        <f t="shared" si="25"/>
        <v>0.5404875629527729</v>
      </c>
      <c r="J84" s="531">
        <f t="shared" si="25"/>
        <v>0.5097911613323078</v>
      </c>
      <c r="K84" s="531" t="e">
        <f t="shared" si="25"/>
        <v>#DIV/0!</v>
      </c>
      <c r="L84" s="531" t="e">
        <f t="shared" si="25"/>
        <v>#DIV/0!</v>
      </c>
      <c r="M84" s="531" t="e">
        <f t="shared" si="25"/>
        <v>#DIV/0!</v>
      </c>
      <c r="N84" s="531">
        <f t="shared" si="25"/>
        <v>0.997674314793322</v>
      </c>
    </row>
    <row r="85" ht="15" hidden="1"/>
    <row r="86" ht="15" hidden="1">
      <c r="B86" s="718" t="s">
        <v>702</v>
      </c>
    </row>
    <row r="87" spans="1:14" ht="15" hidden="1">
      <c r="A87" s="1272" t="s">
        <v>68</v>
      </c>
      <c r="B87" s="1273"/>
      <c r="C87" s="1279" t="s">
        <v>37</v>
      </c>
      <c r="D87" s="1278" t="s">
        <v>336</v>
      </c>
      <c r="E87" s="1282"/>
      <c r="F87" s="1282"/>
      <c r="G87" s="1282"/>
      <c r="H87" s="1282"/>
      <c r="I87" s="1282"/>
      <c r="J87" s="1282"/>
      <c r="K87" s="1282"/>
      <c r="L87" s="1282"/>
      <c r="M87" s="1282"/>
      <c r="N87" s="1283"/>
    </row>
    <row r="88" spans="1:14" ht="15" hidden="1">
      <c r="A88" s="1274"/>
      <c r="B88" s="1275"/>
      <c r="C88" s="1279"/>
      <c r="D88" s="1262" t="s">
        <v>195</v>
      </c>
      <c r="E88" s="1266" t="s">
        <v>196</v>
      </c>
      <c r="F88" s="1267"/>
      <c r="G88" s="1268"/>
      <c r="H88" s="1262" t="s">
        <v>197</v>
      </c>
      <c r="I88" s="1262" t="s">
        <v>122</v>
      </c>
      <c r="J88" s="1262" t="s">
        <v>198</v>
      </c>
      <c r="K88" s="1262" t="s">
        <v>124</v>
      </c>
      <c r="L88" s="1262" t="s">
        <v>125</v>
      </c>
      <c r="M88" s="1262" t="s">
        <v>126</v>
      </c>
      <c r="N88" s="1302" t="s">
        <v>127</v>
      </c>
    </row>
    <row r="89" spans="1:14" ht="15" hidden="1">
      <c r="A89" s="1274"/>
      <c r="B89" s="1275"/>
      <c r="C89" s="1279"/>
      <c r="D89" s="1262"/>
      <c r="E89" s="1271" t="s">
        <v>36</v>
      </c>
      <c r="F89" s="1264" t="s">
        <v>7</v>
      </c>
      <c r="G89" s="1265"/>
      <c r="H89" s="1262"/>
      <c r="I89" s="1262"/>
      <c r="J89" s="1262"/>
      <c r="K89" s="1262"/>
      <c r="L89" s="1262"/>
      <c r="M89" s="1262"/>
      <c r="N89" s="1302"/>
    </row>
    <row r="90" spans="1:14" ht="15" hidden="1">
      <c r="A90" s="1276"/>
      <c r="B90" s="1277"/>
      <c r="C90" s="1279"/>
      <c r="D90" s="1263"/>
      <c r="E90" s="1263"/>
      <c r="F90" s="557" t="s">
        <v>199</v>
      </c>
      <c r="G90" s="558" t="s">
        <v>200</v>
      </c>
      <c r="H90" s="1263"/>
      <c r="I90" s="1263"/>
      <c r="J90" s="1263"/>
      <c r="K90" s="1263"/>
      <c r="L90" s="1263"/>
      <c r="M90" s="1263"/>
      <c r="N90" s="1302"/>
    </row>
    <row r="91" spans="1:14" ht="15" customHeight="1" hidden="1">
      <c r="A91" s="1316" t="s">
        <v>39</v>
      </c>
      <c r="B91" s="1317"/>
      <c r="C91" s="459">
        <v>1</v>
      </c>
      <c r="D91" s="459">
        <v>2</v>
      </c>
      <c r="E91" s="459">
        <v>3</v>
      </c>
      <c r="F91" s="459">
        <v>4</v>
      </c>
      <c r="G91" s="459">
        <v>5</v>
      </c>
      <c r="H91" s="459">
        <v>6</v>
      </c>
      <c r="I91" s="459">
        <v>7</v>
      </c>
      <c r="J91" s="459">
        <v>8</v>
      </c>
      <c r="K91" s="459">
        <v>9</v>
      </c>
      <c r="L91" s="459">
        <v>10</v>
      </c>
      <c r="M91" s="459">
        <v>11</v>
      </c>
      <c r="N91" s="459">
        <v>12</v>
      </c>
    </row>
    <row r="92" spans="1:14" ht="15" hidden="1">
      <c r="A92" s="504" t="s">
        <v>0</v>
      </c>
      <c r="B92" s="426" t="s">
        <v>130</v>
      </c>
      <c r="C92" s="630">
        <f aca="true" t="shared" si="26" ref="C92:C97">SUM(D92,E92,H92:N92)</f>
        <v>1315330</v>
      </c>
      <c r="D92" s="638">
        <f>SUM(D93:D94)</f>
        <v>177338</v>
      </c>
      <c r="E92" s="638">
        <f aca="true" t="shared" si="27" ref="E92:J92">SUM(E93:E94)</f>
        <v>1013480</v>
      </c>
      <c r="F92" s="638">
        <f t="shared" si="27"/>
        <v>304257</v>
      </c>
      <c r="G92" s="638">
        <f t="shared" si="27"/>
        <v>709223</v>
      </c>
      <c r="H92" s="638">
        <f t="shared" si="27"/>
        <v>0</v>
      </c>
      <c r="I92" s="638">
        <f t="shared" si="27"/>
        <v>31549</v>
      </c>
      <c r="J92" s="638">
        <f t="shared" si="27"/>
        <v>0</v>
      </c>
      <c r="K92" s="638">
        <f>SUM(K93:K94)</f>
        <v>0</v>
      </c>
      <c r="L92" s="638">
        <f>SUM(L93:L94)</f>
        <v>0</v>
      </c>
      <c r="M92" s="638">
        <f>SUM(M93:M94)</f>
        <v>0</v>
      </c>
      <c r="N92" s="638">
        <f>SUM(N93:N94)</f>
        <v>92963</v>
      </c>
    </row>
    <row r="93" spans="1:14" ht="15.75" hidden="1">
      <c r="A93" s="505">
        <v>1</v>
      </c>
      <c r="B93" s="428" t="s">
        <v>131</v>
      </c>
      <c r="C93" s="635">
        <f t="shared" si="26"/>
        <v>962438</v>
      </c>
      <c r="D93" s="693">
        <v>148872</v>
      </c>
      <c r="E93" s="640">
        <f>SUM(F93:G93)</f>
        <v>780741</v>
      </c>
      <c r="F93" s="693">
        <v>260214</v>
      </c>
      <c r="G93" s="823">
        <v>520527</v>
      </c>
      <c r="H93" s="823">
        <v>0</v>
      </c>
      <c r="I93" s="823">
        <v>12824</v>
      </c>
      <c r="J93" s="693">
        <v>0</v>
      </c>
      <c r="K93" s="693">
        <v>0</v>
      </c>
      <c r="L93" s="693">
        <v>0</v>
      </c>
      <c r="M93" s="693">
        <v>0</v>
      </c>
      <c r="N93" s="833">
        <v>20001</v>
      </c>
    </row>
    <row r="94" spans="1:14" ht="15.75" hidden="1">
      <c r="A94" s="505">
        <v>2</v>
      </c>
      <c r="B94" s="428" t="s">
        <v>132</v>
      </c>
      <c r="C94" s="635">
        <f t="shared" si="26"/>
        <v>352892</v>
      </c>
      <c r="D94" s="693">
        <v>28466</v>
      </c>
      <c r="E94" s="640">
        <f>SUM(F94:G94)</f>
        <v>232739</v>
      </c>
      <c r="F94" s="693">
        <v>44043</v>
      </c>
      <c r="G94" s="693">
        <v>188696</v>
      </c>
      <c r="H94" s="693">
        <v>0</v>
      </c>
      <c r="I94" s="693">
        <v>18725</v>
      </c>
      <c r="J94" s="693">
        <v>0</v>
      </c>
      <c r="K94" s="693">
        <v>0</v>
      </c>
      <c r="L94" s="693">
        <v>0</v>
      </c>
      <c r="M94" s="693">
        <v>0</v>
      </c>
      <c r="N94" s="693">
        <v>72962</v>
      </c>
    </row>
    <row r="95" spans="1:14" ht="15.75" hidden="1">
      <c r="A95" s="506" t="s">
        <v>1</v>
      </c>
      <c r="B95" s="394" t="s">
        <v>133</v>
      </c>
      <c r="C95" s="635">
        <f t="shared" si="26"/>
        <v>76010</v>
      </c>
      <c r="D95" s="693">
        <v>0</v>
      </c>
      <c r="E95" s="640">
        <f>SUM(F95:G95)</f>
        <v>76010</v>
      </c>
      <c r="F95" s="693">
        <v>1450</v>
      </c>
      <c r="G95" s="693">
        <v>74560</v>
      </c>
      <c r="H95" s="693">
        <v>0</v>
      </c>
      <c r="I95" s="693">
        <v>0</v>
      </c>
      <c r="J95" s="693">
        <v>0</v>
      </c>
      <c r="K95" s="693">
        <v>0</v>
      </c>
      <c r="L95" s="693">
        <v>0</v>
      </c>
      <c r="M95" s="693">
        <v>0</v>
      </c>
      <c r="N95" s="693">
        <v>0</v>
      </c>
    </row>
    <row r="96" spans="1:14" ht="15.75" hidden="1">
      <c r="A96" s="506" t="s">
        <v>9</v>
      </c>
      <c r="B96" s="394" t="s">
        <v>134</v>
      </c>
      <c r="C96" s="635">
        <f t="shared" si="26"/>
        <v>0</v>
      </c>
      <c r="D96" s="693">
        <v>0</v>
      </c>
      <c r="E96" s="640">
        <f>SUM(F96:G96)</f>
        <v>0</v>
      </c>
      <c r="F96" s="693">
        <v>0</v>
      </c>
      <c r="G96" s="693">
        <v>0</v>
      </c>
      <c r="H96" s="693">
        <v>0</v>
      </c>
      <c r="I96" s="693">
        <v>0</v>
      </c>
      <c r="J96" s="693">
        <v>0</v>
      </c>
      <c r="K96" s="693">
        <v>0</v>
      </c>
      <c r="L96" s="693">
        <v>0</v>
      </c>
      <c r="M96" s="693">
        <v>0</v>
      </c>
      <c r="N96" s="693">
        <v>0</v>
      </c>
    </row>
    <row r="97" spans="1:14" ht="21" customHeight="1" hidden="1">
      <c r="A97" s="506" t="s">
        <v>135</v>
      </c>
      <c r="B97" s="394" t="s">
        <v>136</v>
      </c>
      <c r="C97" s="630">
        <f t="shared" si="26"/>
        <v>1239320</v>
      </c>
      <c r="D97" s="631">
        <f>D92-SUM(D95,D96)</f>
        <v>177338</v>
      </c>
      <c r="E97" s="631">
        <f aca="true" t="shared" si="28" ref="E97:N97">E92-SUM(E95,E96)</f>
        <v>937470</v>
      </c>
      <c r="F97" s="631">
        <f t="shared" si="28"/>
        <v>302807</v>
      </c>
      <c r="G97" s="631">
        <f t="shared" si="28"/>
        <v>634663</v>
      </c>
      <c r="H97" s="631">
        <f t="shared" si="28"/>
        <v>0</v>
      </c>
      <c r="I97" s="631">
        <f t="shared" si="28"/>
        <v>31549</v>
      </c>
      <c r="J97" s="631">
        <f t="shared" si="28"/>
        <v>0</v>
      </c>
      <c r="K97" s="631">
        <f t="shared" si="28"/>
        <v>0</v>
      </c>
      <c r="L97" s="631">
        <f t="shared" si="28"/>
        <v>0</v>
      </c>
      <c r="M97" s="631">
        <f t="shared" si="28"/>
        <v>0</v>
      </c>
      <c r="N97" s="631">
        <f t="shared" si="28"/>
        <v>92963</v>
      </c>
    </row>
    <row r="98" spans="1:14" ht="15" hidden="1">
      <c r="A98" s="506" t="s">
        <v>51</v>
      </c>
      <c r="B98" s="429" t="s">
        <v>137</v>
      </c>
      <c r="C98" s="639">
        <f>SUM(C99:C106)</f>
        <v>365460</v>
      </c>
      <c r="D98" s="639">
        <f>SUM(D99:D106)</f>
        <v>45178</v>
      </c>
      <c r="E98" s="639">
        <f>SUM(E99:E106)</f>
        <v>206719</v>
      </c>
      <c r="F98" s="639">
        <f aca="true" t="shared" si="29" ref="F98:N98">SUM(F99:F106)</f>
        <v>59845</v>
      </c>
      <c r="G98" s="639">
        <f t="shared" si="29"/>
        <v>146874</v>
      </c>
      <c r="H98" s="639">
        <f t="shared" si="29"/>
        <v>0</v>
      </c>
      <c r="I98" s="639">
        <f t="shared" si="29"/>
        <v>20600</v>
      </c>
      <c r="J98" s="639">
        <f t="shared" si="29"/>
        <v>0</v>
      </c>
      <c r="K98" s="639">
        <f t="shared" si="29"/>
        <v>0</v>
      </c>
      <c r="L98" s="639">
        <f t="shared" si="29"/>
        <v>0</v>
      </c>
      <c r="M98" s="639">
        <f t="shared" si="29"/>
        <v>0</v>
      </c>
      <c r="N98" s="639">
        <f t="shared" si="29"/>
        <v>92963</v>
      </c>
    </row>
    <row r="99" spans="1:14" ht="15.75" hidden="1">
      <c r="A99" s="505" t="s">
        <v>53</v>
      </c>
      <c r="B99" s="428" t="s">
        <v>138</v>
      </c>
      <c r="C99" s="635">
        <f>SUM(D99+E99+H99+I99+J99+K99+L99+M99+N99)</f>
        <v>240472</v>
      </c>
      <c r="D99" s="693">
        <v>1650</v>
      </c>
      <c r="E99" s="640">
        <f aca="true" t="shared" si="30" ref="E99:E104">SUM(F99:G99)</f>
        <v>134369</v>
      </c>
      <c r="F99" s="693">
        <v>41618</v>
      </c>
      <c r="G99" s="693">
        <v>92751</v>
      </c>
      <c r="H99" s="693">
        <v>0</v>
      </c>
      <c r="I99" s="693">
        <v>13832</v>
      </c>
      <c r="J99" s="693">
        <v>0</v>
      </c>
      <c r="K99" s="693">
        <v>0</v>
      </c>
      <c r="L99" s="693">
        <v>0</v>
      </c>
      <c r="M99" s="693">
        <v>0</v>
      </c>
      <c r="N99" s="693">
        <v>90621</v>
      </c>
    </row>
    <row r="100" spans="1:14" ht="15.75" hidden="1">
      <c r="A100" s="505" t="s">
        <v>54</v>
      </c>
      <c r="B100" s="428" t="s">
        <v>139</v>
      </c>
      <c r="C100" s="635">
        <f>SUM(D100,E100,H100:N100)</f>
        <v>27736</v>
      </c>
      <c r="D100" s="693">
        <v>0</v>
      </c>
      <c r="E100" s="640">
        <f t="shared" si="30"/>
        <v>25861</v>
      </c>
      <c r="F100" s="693">
        <v>0</v>
      </c>
      <c r="G100" s="693">
        <v>25861</v>
      </c>
      <c r="H100" s="693">
        <v>0</v>
      </c>
      <c r="I100" s="693">
        <v>1875</v>
      </c>
      <c r="J100" s="693">
        <v>0</v>
      </c>
      <c r="K100" s="693">
        <v>0</v>
      </c>
      <c r="L100" s="693">
        <v>0</v>
      </c>
      <c r="M100" s="693">
        <v>0</v>
      </c>
      <c r="N100" s="693">
        <v>0</v>
      </c>
    </row>
    <row r="101" spans="1:14" ht="15.75" hidden="1">
      <c r="A101" s="505" t="s">
        <v>140</v>
      </c>
      <c r="B101" s="428" t="s">
        <v>201</v>
      </c>
      <c r="C101" s="635">
        <f>SUM(D101,E101,H101:N101)</f>
        <v>26409</v>
      </c>
      <c r="D101" s="693">
        <v>0</v>
      </c>
      <c r="E101" s="640">
        <f t="shared" si="30"/>
        <v>26409</v>
      </c>
      <c r="F101" s="693">
        <v>18027</v>
      </c>
      <c r="G101" s="693">
        <v>8382</v>
      </c>
      <c r="H101" s="693">
        <v>0</v>
      </c>
      <c r="I101" s="693">
        <v>0</v>
      </c>
      <c r="J101" s="693">
        <v>0</v>
      </c>
      <c r="K101" s="693">
        <v>0</v>
      </c>
      <c r="L101" s="693">
        <v>0</v>
      </c>
      <c r="M101" s="693">
        <v>0</v>
      </c>
      <c r="N101" s="693">
        <v>0</v>
      </c>
    </row>
    <row r="102" spans="1:14" ht="15.75" hidden="1">
      <c r="A102" s="505" t="s">
        <v>142</v>
      </c>
      <c r="B102" s="428" t="s">
        <v>141</v>
      </c>
      <c r="C102" s="635">
        <f>D102+E102+H102+I102+J102+K102+L102+M102+N102</f>
        <v>70843</v>
      </c>
      <c r="D102" s="693">
        <v>43528</v>
      </c>
      <c r="E102" s="640">
        <f t="shared" si="30"/>
        <v>20080</v>
      </c>
      <c r="F102" s="693">
        <v>200</v>
      </c>
      <c r="G102" s="693">
        <v>19880</v>
      </c>
      <c r="H102" s="693">
        <v>0</v>
      </c>
      <c r="I102" s="693">
        <v>4893</v>
      </c>
      <c r="J102" s="693">
        <v>0</v>
      </c>
      <c r="K102" s="693">
        <v>0</v>
      </c>
      <c r="L102" s="693">
        <v>0</v>
      </c>
      <c r="M102" s="693">
        <v>0</v>
      </c>
      <c r="N102" s="693">
        <v>2342</v>
      </c>
    </row>
    <row r="103" spans="1:14" ht="15.75" hidden="1">
      <c r="A103" s="505" t="s">
        <v>144</v>
      </c>
      <c r="B103" s="428" t="s">
        <v>143</v>
      </c>
      <c r="C103" s="636">
        <f>SUM(D103,E103,H103:N103)</f>
        <v>0</v>
      </c>
      <c r="D103" s="693">
        <v>0</v>
      </c>
      <c r="E103" s="644">
        <f t="shared" si="30"/>
        <v>0</v>
      </c>
      <c r="F103" s="693">
        <v>0</v>
      </c>
      <c r="G103" s="693">
        <v>0</v>
      </c>
      <c r="H103" s="693">
        <v>0</v>
      </c>
      <c r="I103" s="693">
        <v>0</v>
      </c>
      <c r="J103" s="693">
        <v>0</v>
      </c>
      <c r="K103" s="693">
        <v>0</v>
      </c>
      <c r="L103" s="693">
        <v>0</v>
      </c>
      <c r="M103" s="693">
        <v>0</v>
      </c>
      <c r="N103" s="693">
        <v>0</v>
      </c>
    </row>
    <row r="104" spans="1:14" ht="15.75" hidden="1">
      <c r="A104" s="505" t="s">
        <v>146</v>
      </c>
      <c r="B104" s="428" t="s">
        <v>145</v>
      </c>
      <c r="C104" s="635">
        <f>SUM(D104,E104,H104:N104)</f>
        <v>0</v>
      </c>
      <c r="D104" s="693">
        <v>0</v>
      </c>
      <c r="E104" s="640">
        <f t="shared" si="30"/>
        <v>0</v>
      </c>
      <c r="F104" s="693">
        <v>0</v>
      </c>
      <c r="G104" s="693">
        <v>0</v>
      </c>
      <c r="H104" s="693">
        <v>0</v>
      </c>
      <c r="I104" s="693">
        <v>0</v>
      </c>
      <c r="J104" s="693">
        <v>0</v>
      </c>
      <c r="K104" s="693">
        <v>0</v>
      </c>
      <c r="L104" s="693">
        <v>0</v>
      </c>
      <c r="M104" s="693">
        <v>0</v>
      </c>
      <c r="N104" s="693">
        <v>0</v>
      </c>
    </row>
    <row r="105" spans="1:14" ht="25.5" hidden="1">
      <c r="A105" s="505" t="s">
        <v>148</v>
      </c>
      <c r="B105" s="430" t="s">
        <v>147</v>
      </c>
      <c r="C105" s="635">
        <f>SUM(D105,E105,H105:N105)</f>
        <v>0</v>
      </c>
      <c r="D105" s="693">
        <v>0</v>
      </c>
      <c r="E105" s="640">
        <f>SUM(F105:G105)</f>
        <v>0</v>
      </c>
      <c r="F105" s="693">
        <v>0</v>
      </c>
      <c r="G105" s="693">
        <v>0</v>
      </c>
      <c r="H105" s="693">
        <v>0</v>
      </c>
      <c r="I105" s="693">
        <v>0</v>
      </c>
      <c r="J105" s="693">
        <v>0</v>
      </c>
      <c r="K105" s="693">
        <v>0</v>
      </c>
      <c r="L105" s="693">
        <v>0</v>
      </c>
      <c r="M105" s="693">
        <v>0</v>
      </c>
      <c r="N105" s="693">
        <v>0</v>
      </c>
    </row>
    <row r="106" spans="1:14" ht="15.75" hidden="1">
      <c r="A106" s="505" t="s">
        <v>185</v>
      </c>
      <c r="B106" s="428" t="s">
        <v>149</v>
      </c>
      <c r="C106" s="635">
        <f>SUM(D106,E106,H106:N106)</f>
        <v>0</v>
      </c>
      <c r="D106" s="693">
        <v>0</v>
      </c>
      <c r="E106" s="640">
        <f>SUM(F106:G106)</f>
        <v>0</v>
      </c>
      <c r="F106" s="693">
        <v>0</v>
      </c>
      <c r="G106" s="693">
        <v>0</v>
      </c>
      <c r="H106" s="693">
        <v>0</v>
      </c>
      <c r="I106" s="693">
        <v>0</v>
      </c>
      <c r="J106" s="693">
        <v>0</v>
      </c>
      <c r="K106" s="693">
        <v>0</v>
      </c>
      <c r="L106" s="693">
        <v>0</v>
      </c>
      <c r="M106" s="693">
        <v>0</v>
      </c>
      <c r="N106" s="693">
        <v>0</v>
      </c>
    </row>
    <row r="107" spans="1:14" ht="18.75" customHeight="1" hidden="1">
      <c r="A107" s="506" t="s">
        <v>52</v>
      </c>
      <c r="B107" s="394" t="s">
        <v>150</v>
      </c>
      <c r="C107" s="630">
        <f>C97-C98</f>
        <v>873860</v>
      </c>
      <c r="D107" s="630">
        <f>D97-D98</f>
        <v>132160</v>
      </c>
      <c r="E107" s="630">
        <f>E97-E98</f>
        <v>730751</v>
      </c>
      <c r="F107" s="630">
        <f>F97-F98</f>
        <v>242962</v>
      </c>
      <c r="G107" s="630">
        <f>G97-G98</f>
        <v>487789</v>
      </c>
      <c r="H107" s="630">
        <f aca="true" t="shared" si="31" ref="H107:N107">H97-H98</f>
        <v>0</v>
      </c>
      <c r="I107" s="630">
        <f t="shared" si="31"/>
        <v>10949</v>
      </c>
      <c r="J107" s="630">
        <f t="shared" si="31"/>
        <v>0</v>
      </c>
      <c r="K107" s="630">
        <f t="shared" si="31"/>
        <v>0</v>
      </c>
      <c r="L107" s="630">
        <f t="shared" si="31"/>
        <v>0</v>
      </c>
      <c r="M107" s="630">
        <f t="shared" si="31"/>
        <v>0</v>
      </c>
      <c r="N107" s="630">
        <f t="shared" si="31"/>
        <v>0</v>
      </c>
    </row>
    <row r="108" spans="1:14" ht="27" customHeight="1" hidden="1">
      <c r="A108" s="532" t="s">
        <v>538</v>
      </c>
      <c r="B108" s="462" t="s">
        <v>202</v>
      </c>
      <c r="C108" s="530">
        <f>(C99+C100+C101)/C98</f>
        <v>0.8061538882504241</v>
      </c>
      <c r="D108" s="531">
        <f aca="true" t="shared" si="32" ref="D108:N108">(D99+D100+D101)/D98</f>
        <v>0.0365222010713179</v>
      </c>
      <c r="E108" s="530">
        <f t="shared" si="32"/>
        <v>0.902863307194791</v>
      </c>
      <c r="F108" s="531">
        <f t="shared" si="32"/>
        <v>0.9966580332525692</v>
      </c>
      <c r="G108" s="531">
        <f t="shared" si="32"/>
        <v>0.8646458869507196</v>
      </c>
      <c r="H108" s="531" t="e">
        <f t="shared" si="32"/>
        <v>#DIV/0!</v>
      </c>
      <c r="I108" s="531">
        <f t="shared" si="32"/>
        <v>0.7624757281553398</v>
      </c>
      <c r="J108" s="531" t="e">
        <f t="shared" si="32"/>
        <v>#DIV/0!</v>
      </c>
      <c r="K108" s="531" t="e">
        <f t="shared" si="32"/>
        <v>#DIV/0!</v>
      </c>
      <c r="L108" s="531" t="e">
        <f t="shared" si="32"/>
        <v>#DIV/0!</v>
      </c>
      <c r="M108" s="531" t="e">
        <f t="shared" si="32"/>
        <v>#DIV/0!</v>
      </c>
      <c r="N108" s="531">
        <f t="shared" si="32"/>
        <v>0.9748071813517206</v>
      </c>
    </row>
    <row r="109" ht="15" hidden="1"/>
    <row r="110" ht="15" hidden="1">
      <c r="B110" s="388" t="s">
        <v>704</v>
      </c>
    </row>
    <row r="111" spans="1:14" ht="15" customHeight="1" hidden="1">
      <c r="A111" s="1272" t="s">
        <v>68</v>
      </c>
      <c r="B111" s="1273"/>
      <c r="C111" s="1286" t="s">
        <v>37</v>
      </c>
      <c r="D111" s="1278" t="s">
        <v>336</v>
      </c>
      <c r="E111" s="1282"/>
      <c r="F111" s="1282"/>
      <c r="G111" s="1282"/>
      <c r="H111" s="1282"/>
      <c r="I111" s="1282"/>
      <c r="J111" s="1282"/>
      <c r="K111" s="1282"/>
      <c r="L111" s="1282"/>
      <c r="M111" s="1282"/>
      <c r="N111" s="1283"/>
    </row>
    <row r="112" spans="1:14" ht="0.75" customHeight="1" hidden="1">
      <c r="A112" s="1274"/>
      <c r="B112" s="1275"/>
      <c r="C112" s="1287"/>
      <c r="D112" s="1271" t="s">
        <v>119</v>
      </c>
      <c r="E112" s="1264" t="s">
        <v>196</v>
      </c>
      <c r="F112" s="1290"/>
      <c r="G112" s="1265"/>
      <c r="H112" s="1271" t="s">
        <v>197</v>
      </c>
      <c r="I112" s="1271" t="s">
        <v>122</v>
      </c>
      <c r="J112" s="1271" t="s">
        <v>198</v>
      </c>
      <c r="K112" s="1271" t="s">
        <v>124</v>
      </c>
      <c r="L112" s="1271" t="s">
        <v>125</v>
      </c>
      <c r="M112" s="1271" t="s">
        <v>126</v>
      </c>
      <c r="N112" s="1271" t="s">
        <v>127</v>
      </c>
    </row>
    <row r="113" spans="1:14" ht="14.25" customHeight="1" hidden="1">
      <c r="A113" s="1274"/>
      <c r="B113" s="1275"/>
      <c r="C113" s="1287"/>
      <c r="D113" s="1262"/>
      <c r="E113" s="1271" t="s">
        <v>36</v>
      </c>
      <c r="F113" s="1264" t="s">
        <v>7</v>
      </c>
      <c r="G113" s="1265"/>
      <c r="H113" s="1262"/>
      <c r="I113" s="1262"/>
      <c r="J113" s="1262"/>
      <c r="K113" s="1262"/>
      <c r="L113" s="1262"/>
      <c r="M113" s="1262"/>
      <c r="N113" s="1262"/>
    </row>
    <row r="114" spans="1:14" ht="14.25" customHeight="1" hidden="1">
      <c r="A114" s="1276"/>
      <c r="B114" s="1277"/>
      <c r="C114" s="1288"/>
      <c r="D114" s="1263"/>
      <c r="E114" s="1263"/>
      <c r="F114" s="557" t="s">
        <v>199</v>
      </c>
      <c r="G114" s="558" t="s">
        <v>200</v>
      </c>
      <c r="H114" s="1263"/>
      <c r="I114" s="1263"/>
      <c r="J114" s="1263"/>
      <c r="K114" s="1263"/>
      <c r="L114" s="1263"/>
      <c r="M114" s="1263"/>
      <c r="N114" s="1263"/>
    </row>
    <row r="115" spans="1:14" ht="15.75" hidden="1">
      <c r="A115" s="1316" t="s">
        <v>39</v>
      </c>
      <c r="B115" s="1317"/>
      <c r="C115" s="459">
        <v>1</v>
      </c>
      <c r="D115" s="459">
        <v>2</v>
      </c>
      <c r="E115" s="459">
        <v>3</v>
      </c>
      <c r="F115" s="459">
        <v>4</v>
      </c>
      <c r="G115" s="459">
        <v>5</v>
      </c>
      <c r="H115" s="459">
        <v>6</v>
      </c>
      <c r="I115" s="459">
        <v>7</v>
      </c>
      <c r="J115" s="459">
        <v>8</v>
      </c>
      <c r="K115" s="459">
        <v>9</v>
      </c>
      <c r="L115" s="459">
        <v>10</v>
      </c>
      <c r="M115" s="459">
        <v>11</v>
      </c>
      <c r="N115" s="459">
        <v>12</v>
      </c>
    </row>
    <row r="116" spans="1:14" ht="15" hidden="1">
      <c r="A116" s="504" t="s">
        <v>0</v>
      </c>
      <c r="B116" s="426" t="s">
        <v>130</v>
      </c>
      <c r="C116" s="630">
        <f aca="true" t="shared" si="33" ref="C116:C121">SUM(D116,E116,H116:N116)</f>
        <v>2520685</v>
      </c>
      <c r="D116" s="638">
        <f>SUM(D117:D118)</f>
        <v>265851</v>
      </c>
      <c r="E116" s="638">
        <f aca="true" t="shared" si="34" ref="E116:J116">SUM(E117:E118)</f>
        <v>2193667</v>
      </c>
      <c r="F116" s="638">
        <f t="shared" si="34"/>
        <v>115396</v>
      </c>
      <c r="G116" s="638">
        <f t="shared" si="34"/>
        <v>2078271</v>
      </c>
      <c r="H116" s="638">
        <f t="shared" si="34"/>
        <v>0</v>
      </c>
      <c r="I116" s="638">
        <f t="shared" si="34"/>
        <v>61167</v>
      </c>
      <c r="J116" s="638">
        <f t="shared" si="34"/>
        <v>0</v>
      </c>
      <c r="K116" s="638">
        <f>SUM(K117:K118)</f>
        <v>0</v>
      </c>
      <c r="L116" s="638">
        <f>SUM(L117:L118)</f>
        <v>0</v>
      </c>
      <c r="M116" s="638">
        <f>SUM(M117:M118)</f>
        <v>0</v>
      </c>
      <c r="N116" s="638">
        <f>SUM(N117:N118)</f>
        <v>0</v>
      </c>
    </row>
    <row r="117" spans="1:14" ht="15.75" customHeight="1" hidden="1">
      <c r="A117" s="505">
        <v>1</v>
      </c>
      <c r="B117" s="428" t="s">
        <v>131</v>
      </c>
      <c r="C117" s="635">
        <f t="shared" si="33"/>
        <v>2119493</v>
      </c>
      <c r="D117" s="405">
        <v>163334</v>
      </c>
      <c r="E117" s="640">
        <f>SUM(F117:G117)</f>
        <v>1930444</v>
      </c>
      <c r="F117" s="405">
        <v>107108</v>
      </c>
      <c r="G117" s="405">
        <v>1823336</v>
      </c>
      <c r="H117" s="405">
        <v>0</v>
      </c>
      <c r="I117" s="405">
        <v>25715</v>
      </c>
      <c r="J117" s="405">
        <v>0</v>
      </c>
      <c r="K117" s="405">
        <v>0</v>
      </c>
      <c r="L117" s="678"/>
      <c r="M117" s="678"/>
      <c r="N117" s="678"/>
    </row>
    <row r="118" spans="1:14" ht="15.75" hidden="1">
      <c r="A118" s="505">
        <v>2</v>
      </c>
      <c r="B118" s="428" t="s">
        <v>132</v>
      </c>
      <c r="C118" s="635">
        <f t="shared" si="33"/>
        <v>401192</v>
      </c>
      <c r="D118" s="405">
        <v>102517</v>
      </c>
      <c r="E118" s="640">
        <f>SUM(F118:G118)</f>
        <v>263223</v>
      </c>
      <c r="F118" s="405">
        <v>8288</v>
      </c>
      <c r="G118" s="405">
        <v>254935</v>
      </c>
      <c r="H118" s="405">
        <v>0</v>
      </c>
      <c r="I118" s="405">
        <v>35452</v>
      </c>
      <c r="J118" s="405">
        <v>0</v>
      </c>
      <c r="K118" s="405">
        <v>0</v>
      </c>
      <c r="L118" s="677"/>
      <c r="M118" s="677"/>
      <c r="N118" s="677"/>
    </row>
    <row r="119" spans="1:14" ht="17.25" customHeight="1" hidden="1">
      <c r="A119" s="506" t="s">
        <v>1</v>
      </c>
      <c r="B119" s="394" t="s">
        <v>133</v>
      </c>
      <c r="C119" s="635">
        <f t="shared" si="33"/>
        <v>3200</v>
      </c>
      <c r="D119" s="405"/>
      <c r="E119" s="640">
        <f>SUM(F119:G119)</f>
        <v>3200</v>
      </c>
      <c r="F119" s="405">
        <v>0</v>
      </c>
      <c r="G119" s="405">
        <v>3200</v>
      </c>
      <c r="H119" s="405">
        <v>0</v>
      </c>
      <c r="I119" s="405">
        <v>0</v>
      </c>
      <c r="J119" s="405">
        <v>0</v>
      </c>
      <c r="K119" s="405">
        <v>0</v>
      </c>
      <c r="L119" s="740"/>
      <c r="M119" s="740"/>
      <c r="N119" s="740">
        <v>0</v>
      </c>
    </row>
    <row r="120" spans="1:14" ht="15.75" customHeight="1" hidden="1">
      <c r="A120" s="506" t="s">
        <v>9</v>
      </c>
      <c r="B120" s="394" t="s">
        <v>134</v>
      </c>
      <c r="C120" s="635">
        <f t="shared" si="33"/>
        <v>0</v>
      </c>
      <c r="D120" s="405"/>
      <c r="E120" s="640">
        <f>SUM(F120:G120)</f>
        <v>0</v>
      </c>
      <c r="F120" s="405"/>
      <c r="G120" s="405"/>
      <c r="H120" s="405"/>
      <c r="I120" s="405"/>
      <c r="J120" s="405"/>
      <c r="K120" s="405"/>
      <c r="L120" s="405"/>
      <c r="M120" s="405"/>
      <c r="N120" s="405"/>
    </row>
    <row r="121" spans="1:14" ht="15" hidden="1">
      <c r="A121" s="506" t="s">
        <v>135</v>
      </c>
      <c r="B121" s="394" t="s">
        <v>136</v>
      </c>
      <c r="C121" s="630">
        <f t="shared" si="33"/>
        <v>2517485</v>
      </c>
      <c r="D121" s="631">
        <f>D116-SUM(D119,D120)</f>
        <v>265851</v>
      </c>
      <c r="E121" s="631">
        <f aca="true" t="shared" si="35" ref="E121:N121">E116-SUM(E119,E120)</f>
        <v>2190467</v>
      </c>
      <c r="F121" s="631">
        <f t="shared" si="35"/>
        <v>115396</v>
      </c>
      <c r="G121" s="631">
        <f t="shared" si="35"/>
        <v>2075071</v>
      </c>
      <c r="H121" s="631">
        <f t="shared" si="35"/>
        <v>0</v>
      </c>
      <c r="I121" s="631">
        <f t="shared" si="35"/>
        <v>61167</v>
      </c>
      <c r="J121" s="631">
        <f t="shared" si="35"/>
        <v>0</v>
      </c>
      <c r="K121" s="631">
        <f t="shared" si="35"/>
        <v>0</v>
      </c>
      <c r="L121" s="631">
        <f t="shared" si="35"/>
        <v>0</v>
      </c>
      <c r="M121" s="631">
        <f t="shared" si="35"/>
        <v>0</v>
      </c>
      <c r="N121" s="631">
        <f t="shared" si="35"/>
        <v>0</v>
      </c>
    </row>
    <row r="122" spans="1:14" ht="15" hidden="1">
      <c r="A122" s="506" t="s">
        <v>51</v>
      </c>
      <c r="B122" s="429" t="s">
        <v>137</v>
      </c>
      <c r="C122" s="639">
        <f>SUM(C123:C130)</f>
        <v>753493</v>
      </c>
      <c r="D122" s="639">
        <f>SUM(D123:D130)</f>
        <v>165400</v>
      </c>
      <c r="E122" s="639">
        <f>SUM(E123:E130)</f>
        <v>550491</v>
      </c>
      <c r="F122" s="639">
        <f aca="true" t="shared" si="36" ref="F122:N122">SUM(F123:F130)</f>
        <v>8037</v>
      </c>
      <c r="G122" s="639">
        <f t="shared" si="36"/>
        <v>542454</v>
      </c>
      <c r="H122" s="639">
        <f t="shared" si="36"/>
        <v>0</v>
      </c>
      <c r="I122" s="639">
        <f t="shared" si="36"/>
        <v>37602</v>
      </c>
      <c r="J122" s="639">
        <f t="shared" si="36"/>
        <v>0</v>
      </c>
      <c r="K122" s="639">
        <f t="shared" si="36"/>
        <v>0</v>
      </c>
      <c r="L122" s="639">
        <f t="shared" si="36"/>
        <v>0</v>
      </c>
      <c r="M122" s="639">
        <f t="shared" si="36"/>
        <v>0</v>
      </c>
      <c r="N122" s="639">
        <f t="shared" si="36"/>
        <v>0</v>
      </c>
    </row>
    <row r="123" spans="1:14" ht="15.75" hidden="1">
      <c r="A123" s="505" t="s">
        <v>53</v>
      </c>
      <c r="B123" s="428" t="s">
        <v>138</v>
      </c>
      <c r="C123" s="635">
        <f>SUM(D123,E123,H123:N123)</f>
        <v>323650</v>
      </c>
      <c r="D123" s="405">
        <v>92514</v>
      </c>
      <c r="E123" s="640">
        <f aca="true" t="shared" si="37" ref="E123:E128">SUM(F123:G123)</f>
        <v>199268</v>
      </c>
      <c r="F123" s="405">
        <v>1797</v>
      </c>
      <c r="G123" s="405">
        <v>197471</v>
      </c>
      <c r="H123" s="405">
        <v>0</v>
      </c>
      <c r="I123" s="405">
        <v>31868</v>
      </c>
      <c r="J123" s="405">
        <v>0</v>
      </c>
      <c r="K123" s="405">
        <v>0</v>
      </c>
      <c r="L123" s="679"/>
      <c r="M123" s="679"/>
      <c r="N123" s="679"/>
    </row>
    <row r="124" spans="1:14" ht="15.75" hidden="1">
      <c r="A124" s="505" t="s">
        <v>54</v>
      </c>
      <c r="B124" s="428" t="s">
        <v>139</v>
      </c>
      <c r="C124" s="635">
        <f>SUM(D124,E124,H124:N124)</f>
        <v>259200</v>
      </c>
      <c r="D124" s="405">
        <v>0</v>
      </c>
      <c r="E124" s="640">
        <f t="shared" si="37"/>
        <v>259200</v>
      </c>
      <c r="F124" s="405">
        <v>0</v>
      </c>
      <c r="G124" s="405">
        <v>259200</v>
      </c>
      <c r="H124" s="405">
        <v>0</v>
      </c>
      <c r="I124" s="405">
        <v>0</v>
      </c>
      <c r="J124" s="405">
        <v>0</v>
      </c>
      <c r="K124" s="405">
        <v>0</v>
      </c>
      <c r="L124" s="677"/>
      <c r="M124" s="677"/>
      <c r="N124" s="677"/>
    </row>
    <row r="125" spans="1:14" ht="19.5" customHeight="1" hidden="1">
      <c r="A125" s="505" t="s">
        <v>140</v>
      </c>
      <c r="B125" s="428" t="s">
        <v>201</v>
      </c>
      <c r="C125" s="635">
        <f>SUM(D125,E125,H125:N125)</f>
        <v>0</v>
      </c>
      <c r="D125" s="405">
        <v>0</v>
      </c>
      <c r="E125" s="640">
        <f t="shared" si="37"/>
        <v>0</v>
      </c>
      <c r="F125" s="405">
        <v>0</v>
      </c>
      <c r="G125" s="405">
        <v>0</v>
      </c>
      <c r="H125" s="405">
        <v>0</v>
      </c>
      <c r="I125" s="405">
        <v>0</v>
      </c>
      <c r="J125" s="405">
        <v>0</v>
      </c>
      <c r="K125" s="405">
        <v>0</v>
      </c>
      <c r="L125" s="677"/>
      <c r="M125" s="677"/>
      <c r="N125" s="677"/>
    </row>
    <row r="126" spans="1:14" ht="15.75" hidden="1">
      <c r="A126" s="505" t="s">
        <v>142</v>
      </c>
      <c r="B126" s="428" t="s">
        <v>141</v>
      </c>
      <c r="C126" s="635">
        <f>D126+E126+H126+I126+J126+K126+L126+M126+N126</f>
        <v>144469</v>
      </c>
      <c r="D126" s="405">
        <v>49012</v>
      </c>
      <c r="E126" s="640">
        <f t="shared" si="37"/>
        <v>89723</v>
      </c>
      <c r="F126" s="405">
        <v>6240</v>
      </c>
      <c r="G126" s="405">
        <v>83483</v>
      </c>
      <c r="H126" s="405">
        <v>0</v>
      </c>
      <c r="I126" s="405">
        <v>5734</v>
      </c>
      <c r="J126" s="405">
        <v>0</v>
      </c>
      <c r="K126" s="405">
        <v>0</v>
      </c>
      <c r="L126" s="677"/>
      <c r="M126" s="677"/>
      <c r="N126" s="677"/>
    </row>
    <row r="127" spans="1:14" ht="15.75" hidden="1">
      <c r="A127" s="505" t="s">
        <v>144</v>
      </c>
      <c r="B127" s="428" t="s">
        <v>143</v>
      </c>
      <c r="C127" s="636">
        <f>SUM(D127,E127,H127:N127)</f>
        <v>22206</v>
      </c>
      <c r="D127" s="405">
        <v>22206</v>
      </c>
      <c r="E127" s="644">
        <f t="shared" si="37"/>
        <v>0</v>
      </c>
      <c r="F127" s="405">
        <v>0</v>
      </c>
      <c r="G127" s="405">
        <v>0</v>
      </c>
      <c r="H127" s="405">
        <v>0</v>
      </c>
      <c r="I127" s="405">
        <v>0</v>
      </c>
      <c r="J127" s="405">
        <v>0</v>
      </c>
      <c r="K127" s="405">
        <v>0</v>
      </c>
      <c r="L127" s="677"/>
      <c r="M127" s="677"/>
      <c r="N127" s="677">
        <v>0</v>
      </c>
    </row>
    <row r="128" spans="1:14" ht="15.75" hidden="1">
      <c r="A128" s="505" t="s">
        <v>146</v>
      </c>
      <c r="B128" s="428" t="s">
        <v>145</v>
      </c>
      <c r="C128" s="635">
        <f>SUM(D128,E128,H128:N128)</f>
        <v>0</v>
      </c>
      <c r="D128" s="405">
        <v>0</v>
      </c>
      <c r="E128" s="640">
        <f t="shared" si="37"/>
        <v>0</v>
      </c>
      <c r="F128" s="405">
        <v>0</v>
      </c>
      <c r="G128" s="405">
        <v>0</v>
      </c>
      <c r="H128" s="405">
        <v>0</v>
      </c>
      <c r="I128" s="405">
        <v>0</v>
      </c>
      <c r="J128" s="405">
        <v>0</v>
      </c>
      <c r="K128" s="405">
        <v>0</v>
      </c>
      <c r="L128" s="643"/>
      <c r="M128" s="643"/>
      <c r="N128" s="643"/>
    </row>
    <row r="129" spans="1:14" ht="25.5" hidden="1">
      <c r="A129" s="505" t="s">
        <v>148</v>
      </c>
      <c r="B129" s="430" t="s">
        <v>147</v>
      </c>
      <c r="C129" s="635">
        <f>SUM(D129,E129,H129:N129)</f>
        <v>0</v>
      </c>
      <c r="D129" s="405">
        <v>0</v>
      </c>
      <c r="E129" s="640">
        <f>SUM(F129:G129)</f>
        <v>0</v>
      </c>
      <c r="F129" s="405">
        <v>0</v>
      </c>
      <c r="G129" s="405">
        <v>0</v>
      </c>
      <c r="H129" s="405">
        <v>0</v>
      </c>
      <c r="I129" s="405">
        <v>0</v>
      </c>
      <c r="J129" s="405">
        <v>0</v>
      </c>
      <c r="K129" s="405">
        <v>0</v>
      </c>
      <c r="L129" s="643"/>
      <c r="M129" s="643"/>
      <c r="N129" s="643"/>
    </row>
    <row r="130" spans="1:14" ht="15.75" hidden="1">
      <c r="A130" s="505" t="s">
        <v>185</v>
      </c>
      <c r="B130" s="428" t="s">
        <v>149</v>
      </c>
      <c r="C130" s="635">
        <f>SUM(D130,E130,H130:N130)</f>
        <v>3968</v>
      </c>
      <c r="D130" s="405">
        <v>1668</v>
      </c>
      <c r="E130" s="640">
        <f>SUM(F130:G130)</f>
        <v>2300</v>
      </c>
      <c r="F130" s="405">
        <v>0</v>
      </c>
      <c r="G130" s="405">
        <v>2300</v>
      </c>
      <c r="H130" s="405">
        <v>0</v>
      </c>
      <c r="I130" s="405">
        <v>0</v>
      </c>
      <c r="J130" s="405">
        <v>0</v>
      </c>
      <c r="K130" s="405">
        <v>0</v>
      </c>
      <c r="L130" s="643"/>
      <c r="M130" s="643"/>
      <c r="N130" s="643"/>
    </row>
    <row r="131" spans="1:14" ht="21.75" customHeight="1" hidden="1">
      <c r="A131" s="506" t="s">
        <v>52</v>
      </c>
      <c r="B131" s="394" t="s">
        <v>150</v>
      </c>
      <c r="C131" s="630">
        <f>C121-C122</f>
        <v>1763992</v>
      </c>
      <c r="D131" s="630">
        <f>D121-D122</f>
        <v>100451</v>
      </c>
      <c r="E131" s="630">
        <f>E121-E122</f>
        <v>1639976</v>
      </c>
      <c r="F131" s="630">
        <f>F121-F122</f>
        <v>107359</v>
      </c>
      <c r="G131" s="630">
        <f>G121-G122</f>
        <v>1532617</v>
      </c>
      <c r="H131" s="630">
        <f aca="true" t="shared" si="38" ref="H131:N131">H121-H122</f>
        <v>0</v>
      </c>
      <c r="I131" s="630">
        <f t="shared" si="38"/>
        <v>23565</v>
      </c>
      <c r="J131" s="630">
        <f t="shared" si="38"/>
        <v>0</v>
      </c>
      <c r="K131" s="630">
        <f t="shared" si="38"/>
        <v>0</v>
      </c>
      <c r="L131" s="630">
        <f t="shared" si="38"/>
        <v>0</v>
      </c>
      <c r="M131" s="630">
        <f t="shared" si="38"/>
        <v>0</v>
      </c>
      <c r="N131" s="630">
        <f t="shared" si="38"/>
        <v>0</v>
      </c>
    </row>
    <row r="132" spans="1:14" ht="31.5" customHeight="1" hidden="1">
      <c r="A132" s="532" t="s">
        <v>538</v>
      </c>
      <c r="B132" s="462" t="s">
        <v>202</v>
      </c>
      <c r="C132" s="530">
        <f>(C123+C124+C125)/C122</f>
        <v>0.7735307428204377</v>
      </c>
      <c r="D132" s="531">
        <f aca="true" t="shared" si="39" ref="D132:N132">(D123+D124+D125)/D122</f>
        <v>0.559334945586457</v>
      </c>
      <c r="E132" s="530">
        <f t="shared" si="39"/>
        <v>0.8328346875789069</v>
      </c>
      <c r="F132" s="531">
        <f t="shared" si="39"/>
        <v>0.22359089212392683</v>
      </c>
      <c r="G132" s="531">
        <f t="shared" si="39"/>
        <v>0.8418612453774882</v>
      </c>
      <c r="H132" s="531" t="e">
        <f t="shared" si="39"/>
        <v>#DIV/0!</v>
      </c>
      <c r="I132" s="531">
        <f t="shared" si="39"/>
        <v>0.847508111270677</v>
      </c>
      <c r="J132" s="531" t="e">
        <f t="shared" si="39"/>
        <v>#DIV/0!</v>
      </c>
      <c r="K132" s="531" t="e">
        <f t="shared" si="39"/>
        <v>#DIV/0!</v>
      </c>
      <c r="L132" s="531" t="e">
        <f t="shared" si="39"/>
        <v>#DIV/0!</v>
      </c>
      <c r="M132" s="531" t="e">
        <f t="shared" si="39"/>
        <v>#DIV/0!</v>
      </c>
      <c r="N132" s="531" t="e">
        <f t="shared" si="39"/>
        <v>#DIV/0!</v>
      </c>
    </row>
    <row r="133" ht="15" hidden="1"/>
    <row r="134" ht="15" hidden="1">
      <c r="B134" s="718" t="s">
        <v>703</v>
      </c>
    </row>
    <row r="135" ht="15" hidden="1"/>
    <row r="136" spans="1:14" ht="2.25" customHeight="1" hidden="1">
      <c r="A136" s="1272" t="s">
        <v>68</v>
      </c>
      <c r="B136" s="1273"/>
      <c r="C136" s="1286" t="s">
        <v>37</v>
      </c>
      <c r="D136" s="1278" t="s">
        <v>336</v>
      </c>
      <c r="E136" s="1282"/>
      <c r="F136" s="1282"/>
      <c r="G136" s="1282"/>
      <c r="H136" s="1282"/>
      <c r="I136" s="1282"/>
      <c r="J136" s="1282"/>
      <c r="K136" s="1282"/>
      <c r="L136" s="1282"/>
      <c r="M136" s="1282"/>
      <c r="N136" s="1283"/>
    </row>
    <row r="137" spans="1:14" ht="15" customHeight="1" hidden="1">
      <c r="A137" s="1274"/>
      <c r="B137" s="1275"/>
      <c r="C137" s="1287"/>
      <c r="D137" s="1271" t="s">
        <v>195</v>
      </c>
      <c r="E137" s="1264" t="s">
        <v>196</v>
      </c>
      <c r="F137" s="1290"/>
      <c r="G137" s="1265"/>
      <c r="H137" s="1271" t="s">
        <v>197</v>
      </c>
      <c r="I137" s="1271" t="s">
        <v>122</v>
      </c>
      <c r="J137" s="1271" t="s">
        <v>198</v>
      </c>
      <c r="K137" s="1271" t="s">
        <v>124</v>
      </c>
      <c r="L137" s="1271" t="s">
        <v>125</v>
      </c>
      <c r="M137" s="1271" t="s">
        <v>126</v>
      </c>
      <c r="N137" s="1271" t="s">
        <v>127</v>
      </c>
    </row>
    <row r="138" spans="1:14" ht="15" hidden="1">
      <c r="A138" s="1274"/>
      <c r="B138" s="1275"/>
      <c r="C138" s="1287"/>
      <c r="D138" s="1262"/>
      <c r="E138" s="1271" t="s">
        <v>36</v>
      </c>
      <c r="F138" s="1264" t="s">
        <v>7</v>
      </c>
      <c r="G138" s="1265"/>
      <c r="H138" s="1262"/>
      <c r="I138" s="1262"/>
      <c r="J138" s="1262"/>
      <c r="K138" s="1262"/>
      <c r="L138" s="1262"/>
      <c r="M138" s="1262"/>
      <c r="N138" s="1262"/>
    </row>
    <row r="139" spans="1:14" ht="15" hidden="1">
      <c r="A139" s="1276"/>
      <c r="B139" s="1277"/>
      <c r="C139" s="1288"/>
      <c r="D139" s="1263"/>
      <c r="E139" s="1263"/>
      <c r="F139" s="557" t="s">
        <v>199</v>
      </c>
      <c r="G139" s="558" t="s">
        <v>200</v>
      </c>
      <c r="H139" s="1263"/>
      <c r="I139" s="1263"/>
      <c r="J139" s="1263"/>
      <c r="K139" s="1263"/>
      <c r="L139" s="1263"/>
      <c r="M139" s="1263"/>
      <c r="N139" s="1263"/>
    </row>
    <row r="140" spans="1:14" ht="15.75" hidden="1">
      <c r="A140" s="1316" t="s">
        <v>39</v>
      </c>
      <c r="B140" s="1317"/>
      <c r="C140" s="459">
        <v>1</v>
      </c>
      <c r="D140" s="459">
        <v>2</v>
      </c>
      <c r="E140" s="459">
        <v>3</v>
      </c>
      <c r="F140" s="459">
        <v>4</v>
      </c>
      <c r="G140" s="459">
        <v>5</v>
      </c>
      <c r="H140" s="459">
        <v>6</v>
      </c>
      <c r="I140" s="459">
        <v>7</v>
      </c>
      <c r="J140" s="459">
        <v>8</v>
      </c>
      <c r="K140" s="459">
        <v>9</v>
      </c>
      <c r="L140" s="459">
        <v>10</v>
      </c>
      <c r="M140" s="459">
        <v>11</v>
      </c>
      <c r="N140" s="459">
        <v>12</v>
      </c>
    </row>
    <row r="141" spans="1:14" ht="15" hidden="1">
      <c r="A141" s="504" t="s">
        <v>0</v>
      </c>
      <c r="B141" s="426" t="s">
        <v>130</v>
      </c>
      <c r="C141" s="630">
        <f aca="true" t="shared" si="40" ref="C141:C146">SUM(D141,E141,H141:N141)</f>
        <v>540055</v>
      </c>
      <c r="D141" s="638">
        <f>SUM(D142:D143)</f>
        <v>102214</v>
      </c>
      <c r="E141" s="638">
        <f aca="true" t="shared" si="41" ref="E141:J141">SUM(E142:E143)</f>
        <v>342177</v>
      </c>
      <c r="F141" s="638">
        <f t="shared" si="41"/>
        <v>48467</v>
      </c>
      <c r="G141" s="638">
        <f t="shared" si="41"/>
        <v>293710</v>
      </c>
      <c r="H141" s="638">
        <f t="shared" si="41"/>
        <v>0</v>
      </c>
      <c r="I141" s="638">
        <f t="shared" si="41"/>
        <v>67373</v>
      </c>
      <c r="J141" s="638">
        <f t="shared" si="41"/>
        <v>0</v>
      </c>
      <c r="K141" s="638">
        <f>SUM(K142:K143)</f>
        <v>0</v>
      </c>
      <c r="L141" s="638">
        <f>SUM(L142:L143)</f>
        <v>0</v>
      </c>
      <c r="M141" s="638">
        <f>SUM(M142:M143)</f>
        <v>0</v>
      </c>
      <c r="N141" s="638">
        <f>SUM(N142:N143)</f>
        <v>28291</v>
      </c>
    </row>
    <row r="142" spans="1:15" ht="15.75" hidden="1">
      <c r="A142" s="505">
        <v>1</v>
      </c>
      <c r="B142" s="428" t="s">
        <v>131</v>
      </c>
      <c r="C142" s="635">
        <f t="shared" si="40"/>
        <v>388593</v>
      </c>
      <c r="D142" s="768">
        <v>26184</v>
      </c>
      <c r="E142" s="640">
        <f>SUM(F142:G142)</f>
        <v>305836</v>
      </c>
      <c r="F142" s="768">
        <v>46887</v>
      </c>
      <c r="G142" s="768">
        <v>258949</v>
      </c>
      <c r="H142" s="768"/>
      <c r="I142" s="768">
        <v>56573</v>
      </c>
      <c r="J142" s="768"/>
      <c r="K142" s="768"/>
      <c r="L142" s="768"/>
      <c r="M142" s="768"/>
      <c r="N142" s="769">
        <v>0</v>
      </c>
      <c r="O142" s="455"/>
    </row>
    <row r="143" spans="1:15" ht="15.75" hidden="1">
      <c r="A143" s="505">
        <v>2</v>
      </c>
      <c r="B143" s="428" t="s">
        <v>132</v>
      </c>
      <c r="C143" s="635">
        <f t="shared" si="40"/>
        <v>151462</v>
      </c>
      <c r="D143" s="768">
        <v>76030</v>
      </c>
      <c r="E143" s="640">
        <f>SUM(F143:G143)</f>
        <v>36341</v>
      </c>
      <c r="F143" s="768">
        <v>1580</v>
      </c>
      <c r="G143" s="768">
        <v>34761</v>
      </c>
      <c r="H143" s="768"/>
      <c r="I143" s="768">
        <v>10800</v>
      </c>
      <c r="J143" s="768"/>
      <c r="K143" s="768">
        <v>0</v>
      </c>
      <c r="L143" s="768"/>
      <c r="M143" s="768"/>
      <c r="N143" s="769">
        <v>28291</v>
      </c>
      <c r="O143" s="455"/>
    </row>
    <row r="144" spans="1:15" ht="18.75" customHeight="1" hidden="1">
      <c r="A144" s="506" t="s">
        <v>1</v>
      </c>
      <c r="B144" s="394" t="s">
        <v>133</v>
      </c>
      <c r="C144" s="635">
        <f t="shared" si="40"/>
        <v>250</v>
      </c>
      <c r="D144" s="769"/>
      <c r="E144" s="640">
        <f>SUM(F144:G144)</f>
        <v>250</v>
      </c>
      <c r="F144" s="769">
        <v>250</v>
      </c>
      <c r="G144" s="769"/>
      <c r="H144" s="769"/>
      <c r="I144" s="769"/>
      <c r="J144" s="769"/>
      <c r="K144" s="769"/>
      <c r="L144" s="769"/>
      <c r="M144" s="769"/>
      <c r="N144" s="769"/>
      <c r="O144" s="455"/>
    </row>
    <row r="145" spans="1:14" ht="15" hidden="1">
      <c r="A145" s="506" t="s">
        <v>9</v>
      </c>
      <c r="B145" s="394" t="s">
        <v>134</v>
      </c>
      <c r="C145" s="635">
        <f t="shared" si="40"/>
        <v>0</v>
      </c>
      <c r="D145" s="405"/>
      <c r="E145" s="640">
        <f>SUM(F145:G145)</f>
        <v>0</v>
      </c>
      <c r="F145" s="405"/>
      <c r="G145" s="405"/>
      <c r="H145" s="405"/>
      <c r="I145" s="405"/>
      <c r="J145" s="405"/>
      <c r="K145" s="405"/>
      <c r="L145" s="405"/>
      <c r="M145" s="405"/>
      <c r="N145" s="405"/>
    </row>
    <row r="146" spans="1:14" ht="15" hidden="1">
      <c r="A146" s="506" t="s">
        <v>135</v>
      </c>
      <c r="B146" s="394" t="s">
        <v>136</v>
      </c>
      <c r="C146" s="630">
        <f t="shared" si="40"/>
        <v>539805</v>
      </c>
      <c r="D146" s="631">
        <f>D141-SUM(D144,D145)</f>
        <v>102214</v>
      </c>
      <c r="E146" s="631">
        <f aca="true" t="shared" si="42" ref="E146:N146">E141-SUM(E144,E145)</f>
        <v>341927</v>
      </c>
      <c r="F146" s="631">
        <f t="shared" si="42"/>
        <v>48217</v>
      </c>
      <c r="G146" s="631">
        <f t="shared" si="42"/>
        <v>293710</v>
      </c>
      <c r="H146" s="631">
        <f t="shared" si="42"/>
        <v>0</v>
      </c>
      <c r="I146" s="631">
        <f t="shared" si="42"/>
        <v>67373</v>
      </c>
      <c r="J146" s="631">
        <f t="shared" si="42"/>
        <v>0</v>
      </c>
      <c r="K146" s="631">
        <f t="shared" si="42"/>
        <v>0</v>
      </c>
      <c r="L146" s="631">
        <f t="shared" si="42"/>
        <v>0</v>
      </c>
      <c r="M146" s="631">
        <f t="shared" si="42"/>
        <v>0</v>
      </c>
      <c r="N146" s="631">
        <f t="shared" si="42"/>
        <v>28291</v>
      </c>
    </row>
    <row r="147" spans="1:14" ht="15" hidden="1">
      <c r="A147" s="506" t="s">
        <v>51</v>
      </c>
      <c r="B147" s="429" t="s">
        <v>137</v>
      </c>
      <c r="C147" s="639">
        <f>SUM(C148:C155)</f>
        <v>211595</v>
      </c>
      <c r="D147" s="639">
        <f>SUM(D148:D155)</f>
        <v>67367</v>
      </c>
      <c r="E147" s="639">
        <f>SUM(E148:E155)</f>
        <v>53758</v>
      </c>
      <c r="F147" s="639">
        <f aca="true" t="shared" si="43" ref="F147:N147">SUM(F148:F155)</f>
        <v>1330</v>
      </c>
      <c r="G147" s="639">
        <f t="shared" si="43"/>
        <v>52428</v>
      </c>
      <c r="H147" s="639">
        <f t="shared" si="43"/>
        <v>0</v>
      </c>
      <c r="I147" s="639">
        <f t="shared" si="43"/>
        <v>62179</v>
      </c>
      <c r="J147" s="639">
        <f t="shared" si="43"/>
        <v>0</v>
      </c>
      <c r="K147" s="639">
        <f t="shared" si="43"/>
        <v>0</v>
      </c>
      <c r="L147" s="639">
        <f t="shared" si="43"/>
        <v>0</v>
      </c>
      <c r="M147" s="639">
        <f t="shared" si="43"/>
        <v>0</v>
      </c>
      <c r="N147" s="639">
        <f t="shared" si="43"/>
        <v>28291</v>
      </c>
    </row>
    <row r="148" spans="1:14" ht="15" hidden="1">
      <c r="A148" s="505" t="s">
        <v>53</v>
      </c>
      <c r="B148" s="428" t="s">
        <v>138</v>
      </c>
      <c r="C148" s="635">
        <f>SUM(D148,E148,H148:N148)</f>
        <v>140304</v>
      </c>
      <c r="D148" s="770">
        <v>57435</v>
      </c>
      <c r="E148" s="640">
        <f aca="true" t="shared" si="44" ref="E148:E153">SUM(F148:G148)</f>
        <v>45128</v>
      </c>
      <c r="F148" s="770">
        <v>1330</v>
      </c>
      <c r="G148" s="770">
        <v>43798</v>
      </c>
      <c r="H148" s="770">
        <v>0</v>
      </c>
      <c r="I148" s="770">
        <v>9450</v>
      </c>
      <c r="J148" s="770">
        <v>0</v>
      </c>
      <c r="K148" s="770"/>
      <c r="L148" s="770"/>
      <c r="M148" s="770"/>
      <c r="N148" s="770">
        <v>28291</v>
      </c>
    </row>
    <row r="149" spans="1:14" ht="15" hidden="1">
      <c r="A149" s="505" t="s">
        <v>54</v>
      </c>
      <c r="B149" s="428" t="s">
        <v>139</v>
      </c>
      <c r="C149" s="635">
        <f>SUM(D149,E149,H149:N149)</f>
        <v>4640</v>
      </c>
      <c r="D149" s="770">
        <v>410</v>
      </c>
      <c r="E149" s="640">
        <f t="shared" si="44"/>
        <v>4230</v>
      </c>
      <c r="F149" s="770"/>
      <c r="G149" s="770">
        <v>4230</v>
      </c>
      <c r="H149" s="770"/>
      <c r="I149" s="770"/>
      <c r="J149" s="770"/>
      <c r="K149" s="770"/>
      <c r="L149" s="770"/>
      <c r="M149" s="770"/>
      <c r="N149" s="770"/>
    </row>
    <row r="150" spans="1:14" ht="15" hidden="1">
      <c r="A150" s="505" t="s">
        <v>140</v>
      </c>
      <c r="B150" s="428" t="s">
        <v>201</v>
      </c>
      <c r="C150" s="635">
        <f>SUM(D150,E150,H150:N150)</f>
        <v>0</v>
      </c>
      <c r="D150" s="770"/>
      <c r="E150" s="640">
        <f t="shared" si="44"/>
        <v>0</v>
      </c>
      <c r="F150" s="770"/>
      <c r="G150" s="770"/>
      <c r="H150" s="770"/>
      <c r="I150" s="770"/>
      <c r="J150" s="770"/>
      <c r="K150" s="770"/>
      <c r="L150" s="770"/>
      <c r="M150" s="770"/>
      <c r="N150" s="770"/>
    </row>
    <row r="151" spans="1:14" ht="16.5" customHeight="1" hidden="1">
      <c r="A151" s="505" t="s">
        <v>142</v>
      </c>
      <c r="B151" s="428" t="s">
        <v>141</v>
      </c>
      <c r="C151" s="635">
        <f>D151+E151+H151+I151+J151+K151+L151+M151+N151</f>
        <v>66651</v>
      </c>
      <c r="D151" s="770">
        <v>9522</v>
      </c>
      <c r="E151" s="640">
        <f t="shared" si="44"/>
        <v>4400</v>
      </c>
      <c r="F151" s="770"/>
      <c r="G151" s="770">
        <v>4400</v>
      </c>
      <c r="H151" s="770"/>
      <c r="I151" s="770">
        <v>52729</v>
      </c>
      <c r="J151" s="770"/>
      <c r="K151" s="770">
        <v>0</v>
      </c>
      <c r="L151" s="770"/>
      <c r="M151" s="770"/>
      <c r="N151" s="770"/>
    </row>
    <row r="152" spans="1:14" ht="15.75" customHeight="1" hidden="1">
      <c r="A152" s="505" t="s">
        <v>144</v>
      </c>
      <c r="B152" s="428" t="s">
        <v>143</v>
      </c>
      <c r="C152" s="636">
        <f>SUM(D152,E152,H152:N152)</f>
        <v>0</v>
      </c>
      <c r="D152" s="770"/>
      <c r="E152" s="644">
        <f t="shared" si="44"/>
        <v>0</v>
      </c>
      <c r="F152" s="770"/>
      <c r="G152" s="770"/>
      <c r="H152" s="770"/>
      <c r="I152" s="770"/>
      <c r="J152" s="770"/>
      <c r="K152" s="770"/>
      <c r="L152" s="770"/>
      <c r="M152" s="770"/>
      <c r="N152" s="770"/>
    </row>
    <row r="153" spans="1:14" ht="15.75" hidden="1">
      <c r="A153" s="505" t="s">
        <v>146</v>
      </c>
      <c r="B153" s="428" t="s">
        <v>145</v>
      </c>
      <c r="C153" s="635">
        <f>SUM(D153,E153,H153:N153)</f>
        <v>0</v>
      </c>
      <c r="D153" s="770"/>
      <c r="E153" s="640">
        <f t="shared" si="44"/>
        <v>0</v>
      </c>
      <c r="F153" s="643"/>
      <c r="G153" s="643"/>
      <c r="H153" s="643"/>
      <c r="I153" s="643"/>
      <c r="J153" s="643"/>
      <c r="K153" s="643"/>
      <c r="L153" s="643"/>
      <c r="M153" s="643"/>
      <c r="N153" s="643"/>
    </row>
    <row r="154" spans="1:14" ht="25.5" hidden="1">
      <c r="A154" s="505" t="s">
        <v>148</v>
      </c>
      <c r="B154" s="430" t="s">
        <v>147</v>
      </c>
      <c r="C154" s="635">
        <f>SUM(D154,E154,H154:N154)</f>
        <v>0</v>
      </c>
      <c r="D154" s="770"/>
      <c r="E154" s="640">
        <f>SUM(F154:G154)</f>
        <v>0</v>
      </c>
      <c r="F154" s="643"/>
      <c r="G154" s="643"/>
      <c r="H154" s="643"/>
      <c r="I154" s="643"/>
      <c r="J154" s="643"/>
      <c r="K154" s="643"/>
      <c r="L154" s="643"/>
      <c r="M154" s="643"/>
      <c r="N154" s="643"/>
    </row>
    <row r="155" spans="1:14" ht="15.75" hidden="1">
      <c r="A155" s="505" t="s">
        <v>185</v>
      </c>
      <c r="B155" s="428" t="s">
        <v>149</v>
      </c>
      <c r="C155" s="635">
        <f>SUM(D155,E155,H155:N155)</f>
        <v>0</v>
      </c>
      <c r="D155" s="770"/>
      <c r="E155" s="640">
        <f>SUM(F155:G155)</f>
        <v>0</v>
      </c>
      <c r="F155" s="643">
        <f>0+0+0</f>
        <v>0</v>
      </c>
      <c r="G155" s="643"/>
      <c r="H155" s="643"/>
      <c r="I155" s="643"/>
      <c r="J155" s="643"/>
      <c r="K155" s="643"/>
      <c r="L155" s="643"/>
      <c r="M155" s="643"/>
      <c r="N155" s="643"/>
    </row>
    <row r="156" spans="1:14" ht="0.75" customHeight="1" hidden="1">
      <c r="A156" s="506" t="s">
        <v>52</v>
      </c>
      <c r="B156" s="394" t="s">
        <v>150</v>
      </c>
      <c r="C156" s="630">
        <f>C146-C147</f>
        <v>328210</v>
      </c>
      <c r="D156" s="630">
        <f>D146-D147</f>
        <v>34847</v>
      </c>
      <c r="E156" s="630">
        <f>E146-E147</f>
        <v>288169</v>
      </c>
      <c r="F156" s="630">
        <f>F146-F147</f>
        <v>46887</v>
      </c>
      <c r="G156" s="630">
        <f>G146-G147</f>
        <v>241282</v>
      </c>
      <c r="H156" s="630">
        <f aca="true" t="shared" si="45" ref="H156:N156">H146-H147</f>
        <v>0</v>
      </c>
      <c r="I156" s="630">
        <f t="shared" si="45"/>
        <v>5194</v>
      </c>
      <c r="J156" s="630">
        <f t="shared" si="45"/>
        <v>0</v>
      </c>
      <c r="K156" s="630">
        <f t="shared" si="45"/>
        <v>0</v>
      </c>
      <c r="L156" s="630">
        <f t="shared" si="45"/>
        <v>0</v>
      </c>
      <c r="M156" s="630">
        <f t="shared" si="45"/>
        <v>0</v>
      </c>
      <c r="N156" s="630">
        <f t="shared" si="45"/>
        <v>0</v>
      </c>
    </row>
    <row r="157" spans="1:14" ht="24" hidden="1">
      <c r="A157" s="532" t="s">
        <v>538</v>
      </c>
      <c r="B157" s="462" t="s">
        <v>202</v>
      </c>
      <c r="C157" s="530">
        <f>(C148+C149+C150)/C147</f>
        <v>0.6850067345636711</v>
      </c>
      <c r="D157" s="531">
        <f aca="true" t="shared" si="46" ref="D157:N157">(D148+D149+D150)/D147</f>
        <v>0.8586548310003415</v>
      </c>
      <c r="E157" s="530">
        <f t="shared" si="46"/>
        <v>0.9181517169537557</v>
      </c>
      <c r="F157" s="531">
        <f t="shared" si="46"/>
        <v>1</v>
      </c>
      <c r="G157" s="531">
        <f t="shared" si="46"/>
        <v>0.9160753795681696</v>
      </c>
      <c r="H157" s="531" t="e">
        <f t="shared" si="46"/>
        <v>#DIV/0!</v>
      </c>
      <c r="I157" s="531">
        <f t="shared" si="46"/>
        <v>0.15198057221891637</v>
      </c>
      <c r="J157" s="531" t="e">
        <f t="shared" si="46"/>
        <v>#DIV/0!</v>
      </c>
      <c r="K157" s="531" t="e">
        <f t="shared" si="46"/>
        <v>#DIV/0!</v>
      </c>
      <c r="L157" s="531" t="e">
        <f t="shared" si="46"/>
        <v>#DIV/0!</v>
      </c>
      <c r="M157" s="531" t="e">
        <f t="shared" si="46"/>
        <v>#DIV/0!</v>
      </c>
      <c r="N157" s="531">
        <f t="shared" si="46"/>
        <v>1</v>
      </c>
    </row>
    <row r="158" ht="15" hidden="1"/>
    <row r="159" ht="15" hidden="1">
      <c r="B159" s="718" t="s">
        <v>705</v>
      </c>
    </row>
    <row r="160" spans="1:14" ht="15" hidden="1">
      <c r="A160" s="1272" t="s">
        <v>68</v>
      </c>
      <c r="B160" s="1273"/>
      <c r="C160" s="1286" t="s">
        <v>37</v>
      </c>
      <c r="D160" s="1278" t="s">
        <v>336</v>
      </c>
      <c r="E160" s="1282"/>
      <c r="F160" s="1282"/>
      <c r="G160" s="1282"/>
      <c r="H160" s="1282"/>
      <c r="I160" s="1282"/>
      <c r="J160" s="1282"/>
      <c r="K160" s="1282"/>
      <c r="L160" s="1282"/>
      <c r="M160" s="1282"/>
      <c r="N160" s="1283"/>
    </row>
    <row r="161" spans="1:14" ht="15" hidden="1">
      <c r="A161" s="1274"/>
      <c r="B161" s="1275"/>
      <c r="C161" s="1287"/>
      <c r="D161" s="1271" t="s">
        <v>195</v>
      </c>
      <c r="E161" s="1264" t="s">
        <v>196</v>
      </c>
      <c r="F161" s="1290"/>
      <c r="G161" s="1265"/>
      <c r="H161" s="1271" t="s">
        <v>197</v>
      </c>
      <c r="I161" s="1271" t="s">
        <v>122</v>
      </c>
      <c r="J161" s="1271" t="s">
        <v>198</v>
      </c>
      <c r="K161" s="1271" t="s">
        <v>124</v>
      </c>
      <c r="L161" s="1271" t="s">
        <v>125</v>
      </c>
      <c r="M161" s="1271" t="s">
        <v>126</v>
      </c>
      <c r="N161" s="1271" t="s">
        <v>127</v>
      </c>
    </row>
    <row r="162" spans="1:14" ht="15" hidden="1">
      <c r="A162" s="1274"/>
      <c r="B162" s="1275"/>
      <c r="C162" s="1287"/>
      <c r="D162" s="1262"/>
      <c r="E162" s="1271" t="s">
        <v>36</v>
      </c>
      <c r="F162" s="1264" t="s">
        <v>7</v>
      </c>
      <c r="G162" s="1265"/>
      <c r="H162" s="1262"/>
      <c r="I162" s="1262"/>
      <c r="J162" s="1262"/>
      <c r="K162" s="1262"/>
      <c r="L162" s="1262"/>
      <c r="M162" s="1262"/>
      <c r="N162" s="1262"/>
    </row>
    <row r="163" spans="1:14" ht="15" hidden="1">
      <c r="A163" s="1276"/>
      <c r="B163" s="1277"/>
      <c r="C163" s="1288"/>
      <c r="D163" s="1263"/>
      <c r="E163" s="1263"/>
      <c r="F163" s="557" t="s">
        <v>199</v>
      </c>
      <c r="G163" s="558" t="s">
        <v>200</v>
      </c>
      <c r="H163" s="1263"/>
      <c r="I163" s="1263"/>
      <c r="J163" s="1263"/>
      <c r="K163" s="1263"/>
      <c r="L163" s="1263"/>
      <c r="M163" s="1263"/>
      <c r="N163" s="1263"/>
    </row>
    <row r="164" spans="1:14" ht="15" customHeight="1" hidden="1">
      <c r="A164" s="1316" t="s">
        <v>39</v>
      </c>
      <c r="B164" s="1317"/>
      <c r="C164" s="459">
        <v>1</v>
      </c>
      <c r="D164" s="459">
        <v>2</v>
      </c>
      <c r="E164" s="459">
        <v>3</v>
      </c>
      <c r="F164" s="459">
        <v>4</v>
      </c>
      <c r="G164" s="459">
        <v>5</v>
      </c>
      <c r="H164" s="459">
        <v>6</v>
      </c>
      <c r="I164" s="459">
        <v>7</v>
      </c>
      <c r="J164" s="459">
        <v>8</v>
      </c>
      <c r="K164" s="459">
        <v>9</v>
      </c>
      <c r="L164" s="459">
        <v>10</v>
      </c>
      <c r="M164" s="459">
        <v>11</v>
      </c>
      <c r="N164" s="459">
        <v>12</v>
      </c>
    </row>
    <row r="165" spans="1:14" ht="15" hidden="1">
      <c r="A165" s="504" t="s">
        <v>0</v>
      </c>
      <c r="B165" s="426" t="s">
        <v>130</v>
      </c>
      <c r="C165" s="630">
        <f aca="true" t="shared" si="47" ref="C165:C170">SUM(D165,E165,H165:N165)</f>
        <v>1017129</v>
      </c>
      <c r="D165" s="638">
        <f>SUM(D166:D167)</f>
        <v>96530</v>
      </c>
      <c r="E165" s="638">
        <f aca="true" t="shared" si="48" ref="E165:J165">SUM(E166:E167)</f>
        <v>822085</v>
      </c>
      <c r="F165" s="638">
        <f t="shared" si="48"/>
        <v>191175</v>
      </c>
      <c r="G165" s="638">
        <f t="shared" si="48"/>
        <v>630910</v>
      </c>
      <c r="H165" s="638">
        <f t="shared" si="48"/>
        <v>300</v>
      </c>
      <c r="I165" s="638">
        <f t="shared" si="48"/>
        <v>19564</v>
      </c>
      <c r="J165" s="638">
        <f t="shared" si="48"/>
        <v>10394</v>
      </c>
      <c r="K165" s="638">
        <f>SUM(K166:K167)</f>
        <v>0</v>
      </c>
      <c r="L165" s="638">
        <f>SUM(L166:L167)</f>
        <v>0</v>
      </c>
      <c r="M165" s="638">
        <f>SUM(M166:M167)</f>
        <v>0</v>
      </c>
      <c r="N165" s="638">
        <f>SUM(N166:N167)</f>
        <v>68256</v>
      </c>
    </row>
    <row r="166" spans="1:14" ht="15.75" hidden="1">
      <c r="A166" s="505">
        <v>1</v>
      </c>
      <c r="B166" s="428" t="s">
        <v>131</v>
      </c>
      <c r="C166" s="635">
        <f t="shared" si="47"/>
        <v>706478</v>
      </c>
      <c r="D166" s="645">
        <f>1851+6984+16504+25349</f>
        <v>50688</v>
      </c>
      <c r="E166" s="640">
        <f>SUM(F166:G166)</f>
        <v>643633</v>
      </c>
      <c r="F166" s="678">
        <f>0+5770+74448+106208</f>
        <v>186426</v>
      </c>
      <c r="G166" s="678">
        <f>75775+295511+52308+33613</f>
        <v>457207</v>
      </c>
      <c r="H166" s="678"/>
      <c r="I166" s="678">
        <f>0+1264+0+499</f>
        <v>1763</v>
      </c>
      <c r="J166" s="678">
        <v>10394</v>
      </c>
      <c r="K166" s="678"/>
      <c r="L166" s="678"/>
      <c r="M166" s="678"/>
      <c r="N166" s="678">
        <f>0+0+0</f>
        <v>0</v>
      </c>
    </row>
    <row r="167" spans="1:14" ht="15.75" hidden="1">
      <c r="A167" s="505">
        <v>2</v>
      </c>
      <c r="B167" s="428" t="s">
        <v>132</v>
      </c>
      <c r="C167" s="635">
        <f t="shared" si="47"/>
        <v>310651</v>
      </c>
      <c r="D167" s="642">
        <f>5984+3300+15987+20571</f>
        <v>45842</v>
      </c>
      <c r="E167" s="640">
        <f>SUM(F167:G167)</f>
        <v>178452</v>
      </c>
      <c r="F167" s="677">
        <f>0+201+0+4548</f>
        <v>4749</v>
      </c>
      <c r="G167" s="677">
        <f>88028+51458+7444+26773</f>
        <v>173703</v>
      </c>
      <c r="H167" s="677">
        <v>300</v>
      </c>
      <c r="I167" s="677">
        <f>4500+6150+4500+2651</f>
        <v>17801</v>
      </c>
      <c r="J167" s="677"/>
      <c r="K167" s="677"/>
      <c r="L167" s="677"/>
      <c r="M167" s="677"/>
      <c r="N167" s="677">
        <f>0+25937+26053+16266</f>
        <v>68256</v>
      </c>
    </row>
    <row r="168" spans="1:14" ht="15.75" hidden="1">
      <c r="A168" s="506" t="s">
        <v>1</v>
      </c>
      <c r="B168" s="394" t="s">
        <v>133</v>
      </c>
      <c r="C168" s="635">
        <f t="shared" si="47"/>
        <v>13900</v>
      </c>
      <c r="D168" s="738">
        <v>0</v>
      </c>
      <c r="E168" s="640">
        <f>SUM(F168:G168)</f>
        <v>13900</v>
      </c>
      <c r="F168" s="739"/>
      <c r="G168" s="740">
        <f>12000+1900</f>
        <v>13900</v>
      </c>
      <c r="H168" s="740"/>
      <c r="I168" s="740"/>
      <c r="J168" s="740"/>
      <c r="K168" s="740"/>
      <c r="L168" s="740"/>
      <c r="M168" s="740"/>
      <c r="N168" s="740"/>
    </row>
    <row r="169" spans="1:14" ht="15" hidden="1">
      <c r="A169" s="506" t="s">
        <v>9</v>
      </c>
      <c r="B169" s="394" t="s">
        <v>134</v>
      </c>
      <c r="C169" s="635">
        <f t="shared" si="47"/>
        <v>0</v>
      </c>
      <c r="D169" s="405"/>
      <c r="E169" s="640">
        <f>SUM(F169:G169)</f>
        <v>0</v>
      </c>
      <c r="F169" s="405"/>
      <c r="G169" s="405"/>
      <c r="H169" s="405"/>
      <c r="I169" s="405"/>
      <c r="J169" s="405"/>
      <c r="K169" s="405"/>
      <c r="L169" s="405"/>
      <c r="M169" s="405"/>
      <c r="N169" s="405"/>
    </row>
    <row r="170" spans="1:14" ht="15" hidden="1">
      <c r="A170" s="506" t="s">
        <v>135</v>
      </c>
      <c r="B170" s="394" t="s">
        <v>136</v>
      </c>
      <c r="C170" s="630">
        <f t="shared" si="47"/>
        <v>1003229</v>
      </c>
      <c r="D170" s="631">
        <f>D165-SUM(D168,D169)</f>
        <v>96530</v>
      </c>
      <c r="E170" s="631">
        <f aca="true" t="shared" si="49" ref="E170:N170">E165-SUM(E168,E169)</f>
        <v>808185</v>
      </c>
      <c r="F170" s="631">
        <f t="shared" si="49"/>
        <v>191175</v>
      </c>
      <c r="G170" s="631">
        <f t="shared" si="49"/>
        <v>617010</v>
      </c>
      <c r="H170" s="631">
        <f t="shared" si="49"/>
        <v>300</v>
      </c>
      <c r="I170" s="631">
        <f t="shared" si="49"/>
        <v>19564</v>
      </c>
      <c r="J170" s="631">
        <f t="shared" si="49"/>
        <v>10394</v>
      </c>
      <c r="K170" s="631">
        <f t="shared" si="49"/>
        <v>0</v>
      </c>
      <c r="L170" s="631">
        <f t="shared" si="49"/>
        <v>0</v>
      </c>
      <c r="M170" s="631">
        <f t="shared" si="49"/>
        <v>0</v>
      </c>
      <c r="N170" s="631">
        <f t="shared" si="49"/>
        <v>68256</v>
      </c>
    </row>
    <row r="171" spans="1:14" ht="15" hidden="1">
      <c r="A171" s="506" t="s">
        <v>51</v>
      </c>
      <c r="B171" s="429" t="s">
        <v>137</v>
      </c>
      <c r="C171" s="639">
        <f>SUM(C172:C179)</f>
        <v>362854</v>
      </c>
      <c r="D171" s="639">
        <f>SUM(D172:D179)</f>
        <v>87637</v>
      </c>
      <c r="E171" s="639">
        <f>SUM(E172:E179)</f>
        <v>188361</v>
      </c>
      <c r="F171" s="639">
        <f aca="true" t="shared" si="50" ref="F171:N171">SUM(F172:F179)</f>
        <v>5201</v>
      </c>
      <c r="G171" s="639">
        <f t="shared" si="50"/>
        <v>183160</v>
      </c>
      <c r="H171" s="639">
        <f t="shared" si="50"/>
        <v>300</v>
      </c>
      <c r="I171" s="639">
        <f t="shared" si="50"/>
        <v>18300</v>
      </c>
      <c r="J171" s="639">
        <f t="shared" si="50"/>
        <v>0</v>
      </c>
      <c r="K171" s="639">
        <f t="shared" si="50"/>
        <v>0</v>
      </c>
      <c r="L171" s="639">
        <f t="shared" si="50"/>
        <v>0</v>
      </c>
      <c r="M171" s="639">
        <f t="shared" si="50"/>
        <v>0</v>
      </c>
      <c r="N171" s="639">
        <f t="shared" si="50"/>
        <v>68256</v>
      </c>
    </row>
    <row r="172" spans="1:14" ht="15.75" hidden="1">
      <c r="A172" s="505" t="s">
        <v>53</v>
      </c>
      <c r="B172" s="428" t="s">
        <v>138</v>
      </c>
      <c r="C172" s="635">
        <f>SUM(D172,E172,H172:N172)</f>
        <v>244387</v>
      </c>
      <c r="D172" s="641">
        <f>5984+1750+17626+3948</f>
        <v>29308</v>
      </c>
      <c r="E172" s="640">
        <f aca="true" t="shared" si="51" ref="E172:E177">SUM(F172:G172)</f>
        <v>129728</v>
      </c>
      <c r="F172" s="679">
        <f>0+201+0+2000</f>
        <v>2201</v>
      </c>
      <c r="G172" s="679">
        <f>58398+39818+10844+18467</f>
        <v>127527</v>
      </c>
      <c r="H172" s="679">
        <v>300</v>
      </c>
      <c r="I172" s="679">
        <f>4200+5850+4500+3150</f>
        <v>17700</v>
      </c>
      <c r="J172" s="679"/>
      <c r="K172" s="679"/>
      <c r="L172" s="679"/>
      <c r="M172" s="679"/>
      <c r="N172" s="679">
        <f>0+25637+25898+15816</f>
        <v>67351</v>
      </c>
    </row>
    <row r="173" spans="1:14" ht="15.75" hidden="1">
      <c r="A173" s="505" t="s">
        <v>54</v>
      </c>
      <c r="B173" s="428" t="s">
        <v>139</v>
      </c>
      <c r="C173" s="635">
        <f>SUM(D173,E173,H173:N173)</f>
        <v>38468</v>
      </c>
      <c r="D173" s="642"/>
      <c r="E173" s="640">
        <f t="shared" si="51"/>
        <v>38468</v>
      </c>
      <c r="F173" s="677"/>
      <c r="G173" s="677">
        <f>20500+17968+0</f>
        <v>38468</v>
      </c>
      <c r="H173" s="677"/>
      <c r="I173" s="677"/>
      <c r="J173" s="677"/>
      <c r="K173" s="677"/>
      <c r="L173" s="677"/>
      <c r="M173" s="677"/>
      <c r="N173" s="677"/>
    </row>
    <row r="174" spans="1:14" ht="15.75" hidden="1">
      <c r="A174" s="505" t="s">
        <v>140</v>
      </c>
      <c r="B174" s="428" t="s">
        <v>201</v>
      </c>
      <c r="C174" s="635">
        <f>SUM(D174,E174,H174:N174)</f>
        <v>0</v>
      </c>
      <c r="D174" s="642"/>
      <c r="E174" s="640">
        <f t="shared" si="51"/>
        <v>0</v>
      </c>
      <c r="F174" s="677"/>
      <c r="G174" s="677"/>
      <c r="H174" s="677"/>
      <c r="I174" s="677"/>
      <c r="J174" s="677"/>
      <c r="K174" s="677"/>
      <c r="L174" s="677"/>
      <c r="M174" s="677"/>
      <c r="N174" s="677"/>
    </row>
    <row r="175" spans="1:14" ht="15.75" hidden="1">
      <c r="A175" s="505" t="s">
        <v>142</v>
      </c>
      <c r="B175" s="428" t="s">
        <v>141</v>
      </c>
      <c r="C175" s="635">
        <f>D175+E175+H175+I175+J175+K175+L175+M175+N175</f>
        <v>79999</v>
      </c>
      <c r="D175" s="642">
        <f>0+8534+9523+40272</f>
        <v>58329</v>
      </c>
      <c r="E175" s="640">
        <f t="shared" si="51"/>
        <v>20165</v>
      </c>
      <c r="F175" s="677">
        <f>0+0+0+3000</f>
        <v>3000</v>
      </c>
      <c r="G175" s="677">
        <f>12865+0+3800+500</f>
        <v>17165</v>
      </c>
      <c r="H175" s="677"/>
      <c r="I175" s="677">
        <f>300+300+0+0</f>
        <v>600</v>
      </c>
      <c r="J175" s="678"/>
      <c r="K175" s="677"/>
      <c r="L175" s="677"/>
      <c r="M175" s="677"/>
      <c r="N175" s="677">
        <f>0+300+155+450</f>
        <v>905</v>
      </c>
    </row>
    <row r="176" spans="1:14" ht="17.25" customHeight="1" hidden="1">
      <c r="A176" s="505" t="s">
        <v>144</v>
      </c>
      <c r="B176" s="428" t="s">
        <v>143</v>
      </c>
      <c r="C176" s="635">
        <f>D176+E176+H176+I176+J176+K176+L176+M176+N176</f>
        <v>0</v>
      </c>
      <c r="D176" s="642"/>
      <c r="E176" s="644">
        <f t="shared" si="51"/>
        <v>0</v>
      </c>
      <c r="F176" s="677"/>
      <c r="G176" s="677"/>
      <c r="H176" s="677"/>
      <c r="I176" s="677"/>
      <c r="J176" s="677"/>
      <c r="K176" s="677"/>
      <c r="L176" s="677"/>
      <c r="M176" s="677"/>
      <c r="N176" s="677">
        <v>0</v>
      </c>
    </row>
    <row r="177" spans="1:14" ht="15.75" hidden="1">
      <c r="A177" s="505" t="s">
        <v>146</v>
      </c>
      <c r="B177" s="428" t="s">
        <v>145</v>
      </c>
      <c r="C177" s="635">
        <f>D177+E177+H177+I177+J177+K177+L177+M177+N177</f>
        <v>0</v>
      </c>
      <c r="D177" s="642"/>
      <c r="E177" s="640">
        <f t="shared" si="51"/>
        <v>0</v>
      </c>
      <c r="F177" s="643"/>
      <c r="G177" s="643"/>
      <c r="H177" s="643"/>
      <c r="I177" s="643"/>
      <c r="J177" s="643"/>
      <c r="K177" s="643"/>
      <c r="L177" s="643"/>
      <c r="M177" s="643"/>
      <c r="N177" s="643"/>
    </row>
    <row r="178" spans="1:14" ht="25.5" hidden="1">
      <c r="A178" s="505" t="s">
        <v>148</v>
      </c>
      <c r="B178" s="430" t="s">
        <v>147</v>
      </c>
      <c r="C178" s="635">
        <f>D178+E178+H178+I178+J178+K178+L178+M178+N178</f>
        <v>0</v>
      </c>
      <c r="D178" s="642"/>
      <c r="E178" s="640">
        <f>SUM(F178:G178)</f>
        <v>0</v>
      </c>
      <c r="F178" s="643"/>
      <c r="G178" s="643"/>
      <c r="H178" s="643"/>
      <c r="I178" s="643"/>
      <c r="J178" s="643"/>
      <c r="K178" s="643"/>
      <c r="L178" s="643"/>
      <c r="M178" s="643"/>
      <c r="N178" s="643"/>
    </row>
    <row r="179" spans="1:14" ht="15.75" hidden="1">
      <c r="A179" s="505" t="s">
        <v>185</v>
      </c>
      <c r="B179" s="428" t="s">
        <v>149</v>
      </c>
      <c r="C179" s="635">
        <f>D179+E179+H179+I179+J179+K179+L179+M179+N179</f>
        <v>0</v>
      </c>
      <c r="D179" s="642">
        <v>0</v>
      </c>
      <c r="E179" s="640">
        <f>SUM(F179:G179)</f>
        <v>0</v>
      </c>
      <c r="F179" s="643">
        <f>0+0+0</f>
        <v>0</v>
      </c>
      <c r="G179" s="643"/>
      <c r="H179" s="643"/>
      <c r="I179" s="643"/>
      <c r="J179" s="643"/>
      <c r="K179" s="643"/>
      <c r="L179" s="643"/>
      <c r="M179" s="643"/>
      <c r="N179" s="643"/>
    </row>
    <row r="180" spans="1:14" ht="22.5" customHeight="1" hidden="1">
      <c r="A180" s="506" t="s">
        <v>52</v>
      </c>
      <c r="B180" s="394" t="s">
        <v>150</v>
      </c>
      <c r="C180" s="630">
        <f>C170-C171</f>
        <v>640375</v>
      </c>
      <c r="D180" s="630">
        <f>D170-D171</f>
        <v>8893</v>
      </c>
      <c r="E180" s="630">
        <f>E170-E171</f>
        <v>619824</v>
      </c>
      <c r="F180" s="630">
        <f>F170-F171</f>
        <v>185974</v>
      </c>
      <c r="G180" s="630">
        <f>G170-G171</f>
        <v>433850</v>
      </c>
      <c r="H180" s="630">
        <f aca="true" t="shared" si="52" ref="H180:N180">H170-H171</f>
        <v>0</v>
      </c>
      <c r="I180" s="630">
        <f t="shared" si="52"/>
        <v>1264</v>
      </c>
      <c r="J180" s="630">
        <f t="shared" si="52"/>
        <v>10394</v>
      </c>
      <c r="K180" s="630">
        <f t="shared" si="52"/>
        <v>0</v>
      </c>
      <c r="L180" s="630">
        <f t="shared" si="52"/>
        <v>0</v>
      </c>
      <c r="M180" s="630">
        <f t="shared" si="52"/>
        <v>0</v>
      </c>
      <c r="N180" s="630">
        <f t="shared" si="52"/>
        <v>0</v>
      </c>
    </row>
    <row r="181" spans="1:14" ht="25.5" customHeight="1" hidden="1">
      <c r="A181" s="532" t="s">
        <v>538</v>
      </c>
      <c r="B181" s="462" t="s">
        <v>202</v>
      </c>
      <c r="C181" s="530">
        <f>(C172+C173+C174)/C171</f>
        <v>0.7795284053641409</v>
      </c>
      <c r="D181" s="531">
        <f aca="true" t="shared" si="53" ref="D181:N181">(D172+D173+D174)/D171</f>
        <v>0.3344249574951219</v>
      </c>
      <c r="E181" s="530">
        <f t="shared" si="53"/>
        <v>0.8929449302137916</v>
      </c>
      <c r="F181" s="531">
        <f t="shared" si="53"/>
        <v>0.42318784849067487</v>
      </c>
      <c r="G181" s="531">
        <f t="shared" si="53"/>
        <v>0.906284123170998</v>
      </c>
      <c r="H181" s="531">
        <f t="shared" si="53"/>
        <v>1</v>
      </c>
      <c r="I181" s="531">
        <f t="shared" si="53"/>
        <v>0.9672131147540983</v>
      </c>
      <c r="J181" s="531" t="e">
        <f t="shared" si="53"/>
        <v>#DIV/0!</v>
      </c>
      <c r="K181" s="531" t="e">
        <f t="shared" si="53"/>
        <v>#DIV/0!</v>
      </c>
      <c r="L181" s="531" t="e">
        <f t="shared" si="53"/>
        <v>#DIV/0!</v>
      </c>
      <c r="M181" s="531" t="e">
        <f t="shared" si="53"/>
        <v>#DIV/0!</v>
      </c>
      <c r="N181" s="531">
        <f t="shared" si="53"/>
        <v>0.986741092358181</v>
      </c>
    </row>
    <row r="182" ht="15" hidden="1"/>
    <row r="183" ht="15" hidden="1">
      <c r="B183" s="388" t="s">
        <v>706</v>
      </c>
    </row>
    <row r="184" spans="1:14" ht="15" customHeight="1" hidden="1">
      <c r="A184" s="1272" t="s">
        <v>68</v>
      </c>
      <c r="B184" s="1273"/>
      <c r="C184" s="1286" t="s">
        <v>37</v>
      </c>
      <c r="D184" s="1278" t="s">
        <v>336</v>
      </c>
      <c r="E184" s="1282"/>
      <c r="F184" s="1282"/>
      <c r="G184" s="1282"/>
      <c r="H184" s="1282"/>
      <c r="I184" s="1282"/>
      <c r="J184" s="1282"/>
      <c r="K184" s="1282"/>
      <c r="L184" s="1282"/>
      <c r="M184" s="1282"/>
      <c r="N184" s="1283"/>
    </row>
    <row r="185" spans="1:14" ht="15" customHeight="1" hidden="1">
      <c r="A185" s="1274"/>
      <c r="B185" s="1275"/>
      <c r="C185" s="1287"/>
      <c r="D185" s="1271" t="s">
        <v>195</v>
      </c>
      <c r="E185" s="1264" t="s">
        <v>196</v>
      </c>
      <c r="F185" s="1290"/>
      <c r="G185" s="1265"/>
      <c r="H185" s="1271" t="s">
        <v>197</v>
      </c>
      <c r="I185" s="1271" t="s">
        <v>122</v>
      </c>
      <c r="J185" s="1271" t="s">
        <v>198</v>
      </c>
      <c r="K185" s="1271" t="s">
        <v>124</v>
      </c>
      <c r="L185" s="1271" t="s">
        <v>125</v>
      </c>
      <c r="M185" s="1271" t="s">
        <v>126</v>
      </c>
      <c r="N185" s="1271" t="s">
        <v>127</v>
      </c>
    </row>
    <row r="186" spans="1:14" ht="15" hidden="1">
      <c r="A186" s="1274"/>
      <c r="B186" s="1275"/>
      <c r="C186" s="1287"/>
      <c r="D186" s="1262"/>
      <c r="E186" s="1271" t="s">
        <v>36</v>
      </c>
      <c r="F186" s="1264" t="s">
        <v>7</v>
      </c>
      <c r="G186" s="1265"/>
      <c r="H186" s="1262"/>
      <c r="I186" s="1262"/>
      <c r="J186" s="1262"/>
      <c r="K186" s="1262"/>
      <c r="L186" s="1262"/>
      <c r="M186" s="1262"/>
      <c r="N186" s="1262"/>
    </row>
    <row r="187" spans="1:14" ht="15" hidden="1">
      <c r="A187" s="1276"/>
      <c r="B187" s="1277"/>
      <c r="C187" s="1288"/>
      <c r="D187" s="1263"/>
      <c r="E187" s="1263"/>
      <c r="F187" s="557" t="s">
        <v>199</v>
      </c>
      <c r="G187" s="558" t="s">
        <v>200</v>
      </c>
      <c r="H187" s="1263"/>
      <c r="I187" s="1263"/>
      <c r="J187" s="1263"/>
      <c r="K187" s="1263"/>
      <c r="L187" s="1263"/>
      <c r="M187" s="1263"/>
      <c r="N187" s="1263"/>
    </row>
    <row r="188" spans="1:14" ht="15.75" hidden="1">
      <c r="A188" s="1316" t="s">
        <v>39</v>
      </c>
      <c r="B188" s="1317"/>
      <c r="C188" s="459">
        <v>1</v>
      </c>
      <c r="D188" s="459">
        <v>2</v>
      </c>
      <c r="E188" s="459">
        <v>3</v>
      </c>
      <c r="F188" s="459">
        <v>4</v>
      </c>
      <c r="G188" s="459">
        <v>5</v>
      </c>
      <c r="H188" s="459">
        <v>6</v>
      </c>
      <c r="I188" s="459">
        <v>7</v>
      </c>
      <c r="J188" s="459">
        <v>8</v>
      </c>
      <c r="K188" s="459">
        <v>9</v>
      </c>
      <c r="L188" s="459">
        <v>10</v>
      </c>
      <c r="M188" s="459">
        <v>11</v>
      </c>
      <c r="N188" s="459">
        <v>12</v>
      </c>
    </row>
    <row r="189" spans="1:14" ht="15" hidden="1">
      <c r="A189" s="504" t="s">
        <v>0</v>
      </c>
      <c r="B189" s="426" t="s">
        <v>130</v>
      </c>
      <c r="C189" s="630">
        <f aca="true" t="shared" si="54" ref="C189:C194">SUM(D189,E189,H189:N189)</f>
        <v>128669</v>
      </c>
      <c r="D189" s="638">
        <f>SUM(D190:D191)</f>
        <v>15529</v>
      </c>
      <c r="E189" s="638">
        <f aca="true" t="shared" si="55" ref="E189:J189">SUM(E190:E191)</f>
        <v>108200</v>
      </c>
      <c r="F189" s="638">
        <f t="shared" si="55"/>
        <v>26575</v>
      </c>
      <c r="G189" s="638">
        <f t="shared" si="55"/>
        <v>81625</v>
      </c>
      <c r="H189" s="638">
        <f t="shared" si="55"/>
        <v>0</v>
      </c>
      <c r="I189" s="638">
        <f t="shared" si="55"/>
        <v>4740</v>
      </c>
      <c r="J189" s="638">
        <f t="shared" si="55"/>
        <v>0</v>
      </c>
      <c r="K189" s="638">
        <f>SUM(K190:K191)</f>
        <v>0</v>
      </c>
      <c r="L189" s="638">
        <f>SUM(L190:L191)</f>
        <v>0</v>
      </c>
      <c r="M189" s="638">
        <f>SUM(M190:M191)</f>
        <v>0</v>
      </c>
      <c r="N189" s="638">
        <f>SUM(N190:N191)</f>
        <v>200</v>
      </c>
    </row>
    <row r="190" spans="1:14" ht="0.75" customHeight="1" hidden="1">
      <c r="A190" s="505">
        <v>1</v>
      </c>
      <c r="B190" s="428" t="s">
        <v>131</v>
      </c>
      <c r="C190" s="635">
        <f t="shared" si="54"/>
        <v>93734</v>
      </c>
      <c r="D190" s="682">
        <v>13353</v>
      </c>
      <c r="E190" s="640">
        <f>SUM(F190:G190)</f>
        <v>80181</v>
      </c>
      <c r="F190" s="683">
        <v>24581</v>
      </c>
      <c r="G190" s="683">
        <v>55600</v>
      </c>
      <c r="H190" s="683"/>
      <c r="I190" s="683">
        <v>0</v>
      </c>
      <c r="J190" s="683"/>
      <c r="K190" s="683"/>
      <c r="L190" s="683"/>
      <c r="M190" s="683"/>
      <c r="N190" s="683">
        <v>200</v>
      </c>
    </row>
    <row r="191" spans="1:14" ht="15.75" hidden="1">
      <c r="A191" s="505">
        <v>2</v>
      </c>
      <c r="B191" s="428" t="s">
        <v>132</v>
      </c>
      <c r="C191" s="635">
        <f t="shared" si="54"/>
        <v>34935</v>
      </c>
      <c r="D191" s="642">
        <v>2176</v>
      </c>
      <c r="E191" s="640">
        <f>SUM(F191:G191)</f>
        <v>28019</v>
      </c>
      <c r="F191" s="677">
        <v>1994</v>
      </c>
      <c r="G191" s="677">
        <v>26025</v>
      </c>
      <c r="H191" s="677"/>
      <c r="I191" s="677">
        <v>4740</v>
      </c>
      <c r="J191" s="677"/>
      <c r="K191" s="677"/>
      <c r="L191" s="677"/>
      <c r="M191" s="677"/>
      <c r="N191" s="677">
        <v>0</v>
      </c>
    </row>
    <row r="192" spans="1:14" ht="15.75" hidden="1">
      <c r="A192" s="506" t="s">
        <v>1</v>
      </c>
      <c r="B192" s="394" t="s">
        <v>133</v>
      </c>
      <c r="C192" s="635">
        <f t="shared" si="54"/>
        <v>0</v>
      </c>
      <c r="D192" s="642"/>
      <c r="E192" s="640">
        <f>SUM(F192:G192)</f>
        <v>0</v>
      </c>
      <c r="F192" s="677"/>
      <c r="G192" s="677"/>
      <c r="H192" s="677"/>
      <c r="I192" s="677"/>
      <c r="J192" s="677"/>
      <c r="K192" s="677"/>
      <c r="L192" s="677"/>
      <c r="M192" s="677"/>
      <c r="N192" s="677"/>
    </row>
    <row r="193" spans="1:14" ht="15" hidden="1">
      <c r="A193" s="506" t="s">
        <v>9</v>
      </c>
      <c r="B193" s="394" t="s">
        <v>134</v>
      </c>
      <c r="C193" s="635">
        <f t="shared" si="54"/>
        <v>0</v>
      </c>
      <c r="D193" s="405"/>
      <c r="E193" s="640">
        <f>SUM(F193:G193)</f>
        <v>0</v>
      </c>
      <c r="F193" s="405"/>
      <c r="G193" s="405"/>
      <c r="H193" s="405"/>
      <c r="I193" s="405"/>
      <c r="J193" s="405"/>
      <c r="K193" s="405"/>
      <c r="L193" s="405"/>
      <c r="M193" s="405"/>
      <c r="N193" s="405"/>
    </row>
    <row r="194" spans="1:14" ht="15" hidden="1">
      <c r="A194" s="506" t="s">
        <v>135</v>
      </c>
      <c r="B194" s="394" t="s">
        <v>136</v>
      </c>
      <c r="C194" s="630">
        <f t="shared" si="54"/>
        <v>128669</v>
      </c>
      <c r="D194" s="631">
        <f>D189-SUM(D192,D193)</f>
        <v>15529</v>
      </c>
      <c r="E194" s="631">
        <f aca="true" t="shared" si="56" ref="E194:N194">E189-SUM(E192,E193)</f>
        <v>108200</v>
      </c>
      <c r="F194" s="631">
        <f t="shared" si="56"/>
        <v>26575</v>
      </c>
      <c r="G194" s="631">
        <f t="shared" si="56"/>
        <v>81625</v>
      </c>
      <c r="H194" s="631">
        <f t="shared" si="56"/>
        <v>0</v>
      </c>
      <c r="I194" s="631">
        <f t="shared" si="56"/>
        <v>4740</v>
      </c>
      <c r="J194" s="631">
        <f t="shared" si="56"/>
        <v>0</v>
      </c>
      <c r="K194" s="631">
        <f t="shared" si="56"/>
        <v>0</v>
      </c>
      <c r="L194" s="631">
        <f t="shared" si="56"/>
        <v>0</v>
      </c>
      <c r="M194" s="631">
        <f t="shared" si="56"/>
        <v>0</v>
      </c>
      <c r="N194" s="631">
        <f t="shared" si="56"/>
        <v>200</v>
      </c>
    </row>
    <row r="195" spans="1:14" ht="15" hidden="1">
      <c r="A195" s="506" t="s">
        <v>51</v>
      </c>
      <c r="B195" s="429" t="s">
        <v>137</v>
      </c>
      <c r="C195" s="639">
        <f>SUM(C196:C203)</f>
        <v>54485</v>
      </c>
      <c r="D195" s="639">
        <f>SUM(D196:D203)</f>
        <v>2176</v>
      </c>
      <c r="E195" s="639">
        <f>SUM(E196:E203)</f>
        <v>47569</v>
      </c>
      <c r="F195" s="639">
        <f aca="true" t="shared" si="57" ref="F195:N195">SUM(F196:F203)</f>
        <v>1994</v>
      </c>
      <c r="G195" s="639">
        <f t="shared" si="57"/>
        <v>45575</v>
      </c>
      <c r="H195" s="639">
        <f t="shared" si="57"/>
        <v>0</v>
      </c>
      <c r="I195" s="639">
        <f t="shared" si="57"/>
        <v>4740</v>
      </c>
      <c r="J195" s="639">
        <f t="shared" si="57"/>
        <v>0</v>
      </c>
      <c r="K195" s="639">
        <f t="shared" si="57"/>
        <v>0</v>
      </c>
      <c r="L195" s="639">
        <f t="shared" si="57"/>
        <v>0</v>
      </c>
      <c r="M195" s="639">
        <f t="shared" si="57"/>
        <v>0</v>
      </c>
      <c r="N195" s="639">
        <f t="shared" si="57"/>
        <v>0</v>
      </c>
    </row>
    <row r="196" spans="1:14" ht="15.75" hidden="1">
      <c r="A196" s="505" t="s">
        <v>53</v>
      </c>
      <c r="B196" s="428" t="s">
        <v>138</v>
      </c>
      <c r="C196" s="635">
        <f>SUM(D196,E196,H196:N196)</f>
        <v>47621</v>
      </c>
      <c r="D196" s="641">
        <v>400</v>
      </c>
      <c r="E196" s="640">
        <f aca="true" t="shared" si="58" ref="E196:E201">SUM(F196:G196)</f>
        <v>42481</v>
      </c>
      <c r="F196" s="679">
        <v>506</v>
      </c>
      <c r="G196" s="679">
        <v>41975</v>
      </c>
      <c r="H196" s="679"/>
      <c r="I196" s="679">
        <v>4740</v>
      </c>
      <c r="J196" s="679"/>
      <c r="K196" s="679"/>
      <c r="L196" s="679"/>
      <c r="M196" s="679"/>
      <c r="N196" s="679">
        <v>0</v>
      </c>
    </row>
    <row r="197" spans="1:14" ht="15.75" hidden="1">
      <c r="A197" s="505" t="s">
        <v>54</v>
      </c>
      <c r="B197" s="428" t="s">
        <v>139</v>
      </c>
      <c r="C197" s="635">
        <f>SUM(D197,E197,H197:N197)</f>
        <v>0</v>
      </c>
      <c r="D197" s="642">
        <v>0</v>
      </c>
      <c r="E197" s="640">
        <f t="shared" si="58"/>
        <v>0</v>
      </c>
      <c r="F197" s="677">
        <v>0</v>
      </c>
      <c r="G197" s="677">
        <v>0</v>
      </c>
      <c r="H197" s="677"/>
      <c r="I197" s="677">
        <v>0</v>
      </c>
      <c r="J197" s="677"/>
      <c r="K197" s="677"/>
      <c r="L197" s="677"/>
      <c r="M197" s="677"/>
      <c r="N197" s="677"/>
    </row>
    <row r="198" spans="1:14" ht="15.75" hidden="1">
      <c r="A198" s="505" t="s">
        <v>140</v>
      </c>
      <c r="B198" s="428" t="s">
        <v>201</v>
      </c>
      <c r="C198" s="635">
        <f>SUM(D198,E198,H198:N198)</f>
        <v>0</v>
      </c>
      <c r="D198" s="642"/>
      <c r="E198" s="640">
        <f t="shared" si="58"/>
        <v>0</v>
      </c>
      <c r="F198" s="677">
        <v>0</v>
      </c>
      <c r="G198" s="677">
        <v>0</v>
      </c>
      <c r="H198" s="677"/>
      <c r="I198" s="677"/>
      <c r="J198" s="677"/>
      <c r="K198" s="677"/>
      <c r="L198" s="677"/>
      <c r="M198" s="677"/>
      <c r="N198" s="677"/>
    </row>
    <row r="199" spans="1:14" ht="15.75" hidden="1">
      <c r="A199" s="505" t="s">
        <v>142</v>
      </c>
      <c r="B199" s="428" t="s">
        <v>141</v>
      </c>
      <c r="C199" s="635">
        <f>D199+E199+H199+I199+J199+K199+L199+M199+N199</f>
        <v>6864</v>
      </c>
      <c r="D199" s="642">
        <v>1776</v>
      </c>
      <c r="E199" s="640">
        <f t="shared" si="58"/>
        <v>5088</v>
      </c>
      <c r="F199" s="677">
        <v>1488</v>
      </c>
      <c r="G199" s="677">
        <v>3600</v>
      </c>
      <c r="H199" s="677"/>
      <c r="I199" s="677">
        <v>0</v>
      </c>
      <c r="J199" s="677"/>
      <c r="K199" s="677"/>
      <c r="L199" s="677"/>
      <c r="M199" s="677"/>
      <c r="N199" s="677"/>
    </row>
    <row r="200" spans="1:14" ht="15.75" hidden="1">
      <c r="A200" s="505" t="s">
        <v>144</v>
      </c>
      <c r="B200" s="428" t="s">
        <v>143</v>
      </c>
      <c r="C200" s="636">
        <f>SUM(D200,E200,H200:N200)</f>
        <v>0</v>
      </c>
      <c r="D200" s="642"/>
      <c r="E200" s="644">
        <f t="shared" si="58"/>
        <v>0</v>
      </c>
      <c r="F200" s="677"/>
      <c r="G200" s="677"/>
      <c r="H200" s="677"/>
      <c r="I200" s="677"/>
      <c r="J200" s="677"/>
      <c r="K200" s="677"/>
      <c r="L200" s="677"/>
      <c r="M200" s="677"/>
      <c r="N200" s="677"/>
    </row>
    <row r="201" spans="1:14" ht="15.75" hidden="1">
      <c r="A201" s="505" t="s">
        <v>146</v>
      </c>
      <c r="B201" s="428" t="s">
        <v>145</v>
      </c>
      <c r="C201" s="635">
        <f>SUM(D201,E201,H201:N201)</f>
        <v>0</v>
      </c>
      <c r="D201" s="642"/>
      <c r="E201" s="640">
        <f t="shared" si="58"/>
        <v>0</v>
      </c>
      <c r="F201" s="677"/>
      <c r="G201" s="677"/>
      <c r="H201" s="677"/>
      <c r="I201" s="677"/>
      <c r="J201" s="677"/>
      <c r="K201" s="677"/>
      <c r="L201" s="677"/>
      <c r="M201" s="677"/>
      <c r="N201" s="677"/>
    </row>
    <row r="202" spans="1:14" ht="25.5" hidden="1">
      <c r="A202" s="505" t="s">
        <v>148</v>
      </c>
      <c r="B202" s="430" t="s">
        <v>147</v>
      </c>
      <c r="C202" s="635">
        <f>SUM(D202,E202,H202:N202)</f>
        <v>0</v>
      </c>
      <c r="D202" s="642"/>
      <c r="E202" s="640">
        <f>SUM(F202:G202)</f>
        <v>0</v>
      </c>
      <c r="F202" s="643"/>
      <c r="G202" s="643"/>
      <c r="H202" s="643"/>
      <c r="I202" s="643"/>
      <c r="J202" s="643"/>
      <c r="K202" s="643"/>
      <c r="L202" s="643"/>
      <c r="M202" s="643"/>
      <c r="N202" s="643"/>
    </row>
    <row r="203" spans="1:14" ht="15.75" hidden="1">
      <c r="A203" s="505" t="s">
        <v>185</v>
      </c>
      <c r="B203" s="428" t="s">
        <v>149</v>
      </c>
      <c r="C203" s="635">
        <f>SUM(D203,E203,H203:N203)</f>
        <v>0</v>
      </c>
      <c r="D203" s="642">
        <v>0</v>
      </c>
      <c r="E203" s="640">
        <f>SUM(F203:G203)</f>
        <v>0</v>
      </c>
      <c r="F203" s="643">
        <f>0+0+0</f>
        <v>0</v>
      </c>
      <c r="G203" s="643"/>
      <c r="H203" s="643"/>
      <c r="I203" s="643"/>
      <c r="J203" s="643"/>
      <c r="K203" s="643"/>
      <c r="L203" s="643"/>
      <c r="M203" s="643"/>
      <c r="N203" s="643"/>
    </row>
    <row r="204" spans="1:14" ht="15" hidden="1">
      <c r="A204" s="506" t="s">
        <v>52</v>
      </c>
      <c r="B204" s="394" t="s">
        <v>150</v>
      </c>
      <c r="C204" s="630">
        <f>C194-C195</f>
        <v>74184</v>
      </c>
      <c r="D204" s="630">
        <f>D194-D195</f>
        <v>13353</v>
      </c>
      <c r="E204" s="630">
        <f>E194-E195</f>
        <v>60631</v>
      </c>
      <c r="F204" s="630">
        <f>F194-F195</f>
        <v>24581</v>
      </c>
      <c r="G204" s="630">
        <f>G194-G195</f>
        <v>36050</v>
      </c>
      <c r="H204" s="630">
        <f aca="true" t="shared" si="59" ref="H204:N204">H194-H195</f>
        <v>0</v>
      </c>
      <c r="I204" s="630">
        <f t="shared" si="59"/>
        <v>0</v>
      </c>
      <c r="J204" s="630">
        <f t="shared" si="59"/>
        <v>0</v>
      </c>
      <c r="K204" s="630">
        <f t="shared" si="59"/>
        <v>0</v>
      </c>
      <c r="L204" s="630">
        <f t="shared" si="59"/>
        <v>0</v>
      </c>
      <c r="M204" s="630">
        <f t="shared" si="59"/>
        <v>0</v>
      </c>
      <c r="N204" s="630">
        <f t="shared" si="59"/>
        <v>200</v>
      </c>
    </row>
    <row r="205" spans="1:14" ht="24" hidden="1">
      <c r="A205" s="532" t="s">
        <v>538</v>
      </c>
      <c r="B205" s="462" t="s">
        <v>202</v>
      </c>
      <c r="C205" s="530">
        <f>(C196+C197+C198)/C195</f>
        <v>0.8740203725796091</v>
      </c>
      <c r="D205" s="531">
        <f aca="true" t="shared" si="60" ref="D205:N205">(D196+D197+D198)/D195</f>
        <v>0.18382352941176472</v>
      </c>
      <c r="E205" s="530">
        <f t="shared" si="60"/>
        <v>0.8930395846034181</v>
      </c>
      <c r="F205" s="531">
        <f t="shared" si="60"/>
        <v>0.25376128385155466</v>
      </c>
      <c r="G205" s="531">
        <f t="shared" si="60"/>
        <v>0.9210093252879868</v>
      </c>
      <c r="H205" s="531" t="e">
        <f t="shared" si="60"/>
        <v>#DIV/0!</v>
      </c>
      <c r="I205" s="531">
        <f t="shared" si="60"/>
        <v>1</v>
      </c>
      <c r="J205" s="531" t="e">
        <f t="shared" si="60"/>
        <v>#DIV/0!</v>
      </c>
      <c r="K205" s="531" t="e">
        <f t="shared" si="60"/>
        <v>#DIV/0!</v>
      </c>
      <c r="L205" s="531" t="e">
        <f t="shared" si="60"/>
        <v>#DIV/0!</v>
      </c>
      <c r="M205" s="531" t="e">
        <f t="shared" si="60"/>
        <v>#DIV/0!</v>
      </c>
      <c r="N205" s="531" t="e">
        <f t="shared" si="60"/>
        <v>#DIV/0!</v>
      </c>
    </row>
    <row r="206" ht="15" hidden="1"/>
    <row r="207" ht="15" hidden="1">
      <c r="B207" s="388" t="s">
        <v>695</v>
      </c>
    </row>
    <row r="208" spans="1:14" ht="0.75" customHeight="1" hidden="1">
      <c r="A208" s="1272" t="s">
        <v>68</v>
      </c>
      <c r="B208" s="1273"/>
      <c r="C208" s="1286" t="s">
        <v>37</v>
      </c>
      <c r="D208" s="1278" t="s">
        <v>336</v>
      </c>
      <c r="E208" s="1282"/>
      <c r="F208" s="1282"/>
      <c r="G208" s="1282"/>
      <c r="H208" s="1282"/>
      <c r="I208" s="1282"/>
      <c r="J208" s="1282"/>
      <c r="K208" s="1282"/>
      <c r="L208" s="1282"/>
      <c r="M208" s="1282"/>
      <c r="N208" s="1283"/>
    </row>
    <row r="209" spans="1:14" ht="17.25" customHeight="1" hidden="1">
      <c r="A209" s="1274"/>
      <c r="B209" s="1275"/>
      <c r="C209" s="1287"/>
      <c r="D209" s="1271" t="s">
        <v>195</v>
      </c>
      <c r="E209" s="1264" t="s">
        <v>196</v>
      </c>
      <c r="F209" s="1290"/>
      <c r="G209" s="1265"/>
      <c r="H209" s="1271" t="s">
        <v>197</v>
      </c>
      <c r="I209" s="1271" t="s">
        <v>122</v>
      </c>
      <c r="J209" s="1271" t="s">
        <v>198</v>
      </c>
      <c r="K209" s="1271" t="s">
        <v>124</v>
      </c>
      <c r="L209" s="1271" t="s">
        <v>125</v>
      </c>
      <c r="M209" s="1271" t="s">
        <v>126</v>
      </c>
      <c r="N209" s="1271" t="s">
        <v>127</v>
      </c>
    </row>
    <row r="210" spans="1:14" ht="15" hidden="1">
      <c r="A210" s="1274"/>
      <c r="B210" s="1275"/>
      <c r="C210" s="1287"/>
      <c r="D210" s="1262"/>
      <c r="E210" s="1271" t="s">
        <v>36</v>
      </c>
      <c r="F210" s="1264" t="s">
        <v>7</v>
      </c>
      <c r="G210" s="1265"/>
      <c r="H210" s="1262"/>
      <c r="I210" s="1262"/>
      <c r="J210" s="1262"/>
      <c r="K210" s="1262"/>
      <c r="L210" s="1262"/>
      <c r="M210" s="1262"/>
      <c r="N210" s="1262"/>
    </row>
    <row r="211" spans="1:14" ht="15" hidden="1">
      <c r="A211" s="1276"/>
      <c r="B211" s="1277"/>
      <c r="C211" s="1288"/>
      <c r="D211" s="1263"/>
      <c r="E211" s="1263"/>
      <c r="F211" s="557" t="s">
        <v>199</v>
      </c>
      <c r="G211" s="558" t="s">
        <v>200</v>
      </c>
      <c r="H211" s="1263"/>
      <c r="I211" s="1263"/>
      <c r="J211" s="1263"/>
      <c r="K211" s="1263"/>
      <c r="L211" s="1263"/>
      <c r="M211" s="1263"/>
      <c r="N211" s="1263"/>
    </row>
    <row r="212" spans="1:14" ht="15.75" hidden="1">
      <c r="A212" s="1316" t="s">
        <v>39</v>
      </c>
      <c r="B212" s="1317"/>
      <c r="C212" s="459">
        <v>1</v>
      </c>
      <c r="D212" s="459">
        <v>2</v>
      </c>
      <c r="E212" s="459">
        <v>3</v>
      </c>
      <c r="F212" s="459">
        <v>4</v>
      </c>
      <c r="G212" s="459">
        <v>5</v>
      </c>
      <c r="H212" s="459">
        <v>6</v>
      </c>
      <c r="I212" s="459">
        <v>7</v>
      </c>
      <c r="J212" s="459">
        <v>8</v>
      </c>
      <c r="K212" s="459">
        <v>9</v>
      </c>
      <c r="L212" s="459">
        <v>10</v>
      </c>
      <c r="M212" s="459">
        <v>11</v>
      </c>
      <c r="N212" s="459">
        <v>12</v>
      </c>
    </row>
    <row r="213" spans="1:14" ht="12" customHeight="1" hidden="1">
      <c r="A213" s="504" t="s">
        <v>0</v>
      </c>
      <c r="B213" s="426" t="s">
        <v>130</v>
      </c>
      <c r="C213" s="630">
        <f aca="true" t="shared" si="61" ref="C213:C218">SUM(D213,E213,H213:N213)</f>
        <v>277233</v>
      </c>
      <c r="D213" s="638">
        <f>SUM(D214:D215)</f>
        <v>55375</v>
      </c>
      <c r="E213" s="638">
        <f aca="true" t="shared" si="62" ref="E213:J213">SUM(E214:E215)</f>
        <v>201645</v>
      </c>
      <c r="F213" s="638">
        <f t="shared" si="62"/>
        <v>0</v>
      </c>
      <c r="G213" s="638">
        <f t="shared" si="62"/>
        <v>201645</v>
      </c>
      <c r="H213" s="638">
        <f t="shared" si="62"/>
        <v>0</v>
      </c>
      <c r="I213" s="638">
        <f t="shared" si="62"/>
        <v>450</v>
      </c>
      <c r="J213" s="638">
        <f t="shared" si="62"/>
        <v>0</v>
      </c>
      <c r="K213" s="638">
        <f>SUM(K214:K215)</f>
        <v>0</v>
      </c>
      <c r="L213" s="638">
        <f>SUM(L214:L215)</f>
        <v>0</v>
      </c>
      <c r="M213" s="638">
        <f>SUM(M214:M215)</f>
        <v>0</v>
      </c>
      <c r="N213" s="638">
        <f>SUM(N214:N215)</f>
        <v>19763</v>
      </c>
    </row>
    <row r="214" spans="1:14" ht="15.75" hidden="1">
      <c r="A214" s="505">
        <v>1</v>
      </c>
      <c r="B214" s="428" t="s">
        <v>131</v>
      </c>
      <c r="C214" s="635">
        <f t="shared" si="61"/>
        <v>69427</v>
      </c>
      <c r="D214" s="756">
        <v>45887</v>
      </c>
      <c r="E214" s="640">
        <f>SUM(F214:G214)</f>
        <v>23540</v>
      </c>
      <c r="F214" s="756">
        <v>0</v>
      </c>
      <c r="G214" s="756">
        <v>23540</v>
      </c>
      <c r="H214" s="756">
        <v>0</v>
      </c>
      <c r="I214" s="756">
        <v>0</v>
      </c>
      <c r="J214" s="756">
        <v>0</v>
      </c>
      <c r="K214" s="756">
        <v>0</v>
      </c>
      <c r="L214" s="756">
        <v>0</v>
      </c>
      <c r="M214" s="756">
        <v>0</v>
      </c>
      <c r="N214" s="756">
        <v>0</v>
      </c>
    </row>
    <row r="215" spans="1:14" ht="15.75" hidden="1">
      <c r="A215" s="505">
        <v>2</v>
      </c>
      <c r="B215" s="428" t="s">
        <v>132</v>
      </c>
      <c r="C215" s="635">
        <f t="shared" si="61"/>
        <v>207806</v>
      </c>
      <c r="D215" s="689">
        <f>4513+4975</f>
        <v>9488</v>
      </c>
      <c r="E215" s="640">
        <f>SUM(F215:G215)</f>
        <v>178105</v>
      </c>
      <c r="F215" s="755"/>
      <c r="G215" s="689">
        <f>177905+200</f>
        <v>178105</v>
      </c>
      <c r="H215" s="689">
        <v>0</v>
      </c>
      <c r="I215" s="689">
        <f>300+150</f>
        <v>450</v>
      </c>
      <c r="J215" s="689">
        <v>0</v>
      </c>
      <c r="K215" s="689">
        <v>0</v>
      </c>
      <c r="L215" s="689">
        <v>0</v>
      </c>
      <c r="M215" s="689">
        <v>0</v>
      </c>
      <c r="N215" s="689">
        <f>14075+5688</f>
        <v>19763</v>
      </c>
    </row>
    <row r="216" spans="1:14" ht="15.75" hidden="1">
      <c r="A216" s="506" t="s">
        <v>1</v>
      </c>
      <c r="B216" s="394" t="s">
        <v>133</v>
      </c>
      <c r="C216" s="635">
        <f t="shared" si="61"/>
        <v>0</v>
      </c>
      <c r="D216" s="642"/>
      <c r="E216" s="640">
        <f>SUM(F216:G216)</f>
        <v>0</v>
      </c>
      <c r="F216" s="755">
        <v>0</v>
      </c>
      <c r="G216" s="689"/>
      <c r="H216" s="689">
        <v>0</v>
      </c>
      <c r="I216" s="689"/>
      <c r="J216" s="689">
        <v>0</v>
      </c>
      <c r="K216" s="689">
        <v>0</v>
      </c>
      <c r="L216" s="689">
        <v>0</v>
      </c>
      <c r="M216" s="689">
        <v>0</v>
      </c>
      <c r="N216" s="689"/>
    </row>
    <row r="217" spans="1:14" ht="15" hidden="1">
      <c r="A217" s="506" t="s">
        <v>9</v>
      </c>
      <c r="B217" s="394" t="s">
        <v>134</v>
      </c>
      <c r="C217" s="635">
        <f t="shared" si="61"/>
        <v>0</v>
      </c>
      <c r="D217" s="405"/>
      <c r="E217" s="640">
        <f>SUM(F217:G217)</f>
        <v>0</v>
      </c>
      <c r="F217" s="405"/>
      <c r="G217" s="405"/>
      <c r="H217" s="405"/>
      <c r="I217" s="405"/>
      <c r="J217" s="405"/>
      <c r="K217" s="405"/>
      <c r="L217" s="405"/>
      <c r="M217" s="405"/>
      <c r="N217" s="405"/>
    </row>
    <row r="218" spans="1:14" ht="15" hidden="1">
      <c r="A218" s="506" t="s">
        <v>135</v>
      </c>
      <c r="B218" s="394" t="s">
        <v>136</v>
      </c>
      <c r="C218" s="630">
        <f t="shared" si="61"/>
        <v>277233</v>
      </c>
      <c r="D218" s="631">
        <f>D213-SUM(D216,D217)</f>
        <v>55375</v>
      </c>
      <c r="E218" s="631">
        <f aca="true" t="shared" si="63" ref="E218:N218">E213-SUM(E216,E217)</f>
        <v>201645</v>
      </c>
      <c r="F218" s="631">
        <f t="shared" si="63"/>
        <v>0</v>
      </c>
      <c r="G218" s="631">
        <f t="shared" si="63"/>
        <v>201645</v>
      </c>
      <c r="H218" s="631">
        <f t="shared" si="63"/>
        <v>0</v>
      </c>
      <c r="I218" s="631">
        <f t="shared" si="63"/>
        <v>450</v>
      </c>
      <c r="J218" s="631">
        <f t="shared" si="63"/>
        <v>0</v>
      </c>
      <c r="K218" s="631">
        <f t="shared" si="63"/>
        <v>0</v>
      </c>
      <c r="L218" s="631">
        <f t="shared" si="63"/>
        <v>0</v>
      </c>
      <c r="M218" s="631">
        <f t="shared" si="63"/>
        <v>0</v>
      </c>
      <c r="N218" s="631">
        <f t="shared" si="63"/>
        <v>19763</v>
      </c>
    </row>
    <row r="219" spans="1:14" ht="15" hidden="1">
      <c r="A219" s="506" t="s">
        <v>51</v>
      </c>
      <c r="B219" s="429" t="s">
        <v>137</v>
      </c>
      <c r="C219" s="639">
        <f>SUM(C220:C227)</f>
        <v>210756</v>
      </c>
      <c r="D219" s="639">
        <f>SUM(D220:D227)</f>
        <v>12438</v>
      </c>
      <c r="E219" s="639">
        <f>SUM(E220:E227)</f>
        <v>178105</v>
      </c>
      <c r="F219" s="639">
        <f aca="true" t="shared" si="64" ref="F219:N219">SUM(F220:F227)</f>
        <v>0</v>
      </c>
      <c r="G219" s="639">
        <f t="shared" si="64"/>
        <v>178105</v>
      </c>
      <c r="H219" s="639">
        <f t="shared" si="64"/>
        <v>0</v>
      </c>
      <c r="I219" s="639">
        <f t="shared" si="64"/>
        <v>450</v>
      </c>
      <c r="J219" s="639">
        <f t="shared" si="64"/>
        <v>0</v>
      </c>
      <c r="K219" s="639">
        <f t="shared" si="64"/>
        <v>0</v>
      </c>
      <c r="L219" s="639">
        <f t="shared" si="64"/>
        <v>0</v>
      </c>
      <c r="M219" s="639">
        <f t="shared" si="64"/>
        <v>0</v>
      </c>
      <c r="N219" s="639">
        <f t="shared" si="64"/>
        <v>19763</v>
      </c>
    </row>
    <row r="220" spans="1:14" ht="15.75" hidden="1">
      <c r="A220" s="505" t="s">
        <v>53</v>
      </c>
      <c r="B220" s="428" t="s">
        <v>138</v>
      </c>
      <c r="C220" s="635">
        <f>SUM(D220,E220,H220:N220)</f>
        <v>54684</v>
      </c>
      <c r="D220" s="697">
        <v>1713</v>
      </c>
      <c r="E220" s="640">
        <f aca="true" t="shared" si="65" ref="E220:E225">SUM(F220:G220)</f>
        <v>32908</v>
      </c>
      <c r="F220" s="752"/>
      <c r="G220" s="697">
        <v>32908</v>
      </c>
      <c r="H220" s="697"/>
      <c r="I220" s="697">
        <v>300</v>
      </c>
      <c r="J220" s="697"/>
      <c r="K220" s="697"/>
      <c r="L220" s="697"/>
      <c r="M220" s="697"/>
      <c r="N220" s="689">
        <v>19763</v>
      </c>
    </row>
    <row r="221" spans="1:14" ht="15.75" hidden="1">
      <c r="A221" s="505" t="s">
        <v>54</v>
      </c>
      <c r="B221" s="428" t="s">
        <v>139</v>
      </c>
      <c r="C221" s="635">
        <f>SUM(D221,E221,H221:N221)</f>
        <v>0</v>
      </c>
      <c r="D221" s="752"/>
      <c r="E221" s="640">
        <f t="shared" si="65"/>
        <v>0</v>
      </c>
      <c r="F221" s="752"/>
      <c r="G221" s="697"/>
      <c r="H221" s="697"/>
      <c r="I221" s="697"/>
      <c r="J221" s="697"/>
      <c r="K221" s="697"/>
      <c r="L221" s="697"/>
      <c r="M221" s="697"/>
      <c r="N221" s="697"/>
    </row>
    <row r="222" spans="1:14" ht="14.25" customHeight="1" hidden="1">
      <c r="A222" s="505" t="s">
        <v>140</v>
      </c>
      <c r="B222" s="428" t="s">
        <v>201</v>
      </c>
      <c r="C222" s="635">
        <f>SUM(D222,E222,H222:N222)</f>
        <v>0</v>
      </c>
      <c r="D222" s="755"/>
      <c r="E222" s="640">
        <f t="shared" si="65"/>
        <v>0</v>
      </c>
      <c r="F222" s="755"/>
      <c r="G222" s="689"/>
      <c r="H222" s="697"/>
      <c r="I222" s="697"/>
      <c r="J222" s="697"/>
      <c r="K222" s="697"/>
      <c r="L222" s="697"/>
      <c r="M222" s="697"/>
      <c r="N222" s="697"/>
    </row>
    <row r="223" spans="1:14" ht="15.75" hidden="1">
      <c r="A223" s="505" t="s">
        <v>142</v>
      </c>
      <c r="B223" s="428" t="s">
        <v>141</v>
      </c>
      <c r="C223" s="635">
        <f>D223+E223+H223+I223+J223+K223+L223+M223+N223</f>
        <v>156072</v>
      </c>
      <c r="D223" s="689">
        <v>10725</v>
      </c>
      <c r="E223" s="640">
        <f t="shared" si="65"/>
        <v>145197</v>
      </c>
      <c r="F223" s="755"/>
      <c r="G223" s="689">
        <v>145197</v>
      </c>
      <c r="H223" s="697"/>
      <c r="I223" s="697">
        <v>150</v>
      </c>
      <c r="J223" s="697"/>
      <c r="K223" s="697"/>
      <c r="L223" s="697"/>
      <c r="M223" s="697"/>
      <c r="N223" s="826"/>
    </row>
    <row r="224" spans="1:14" ht="15.75" hidden="1">
      <c r="A224" s="505" t="s">
        <v>144</v>
      </c>
      <c r="B224" s="428" t="s">
        <v>143</v>
      </c>
      <c r="C224" s="636">
        <f>SUM(D224,E224,H224:N224)</f>
        <v>0</v>
      </c>
      <c r="D224" s="752">
        <v>0</v>
      </c>
      <c r="E224" s="644">
        <f t="shared" si="65"/>
        <v>0</v>
      </c>
      <c r="F224" s="677"/>
      <c r="G224" s="677"/>
      <c r="H224" s="677"/>
      <c r="I224" s="677"/>
      <c r="J224" s="677"/>
      <c r="K224" s="677"/>
      <c r="L224" s="677"/>
      <c r="M224" s="677"/>
      <c r="N224" s="677"/>
    </row>
    <row r="225" spans="1:14" ht="15.75" hidden="1">
      <c r="A225" s="505" t="s">
        <v>146</v>
      </c>
      <c r="B225" s="428" t="s">
        <v>145</v>
      </c>
      <c r="C225" s="635">
        <f>SUM(D225,E225,H225:N225)</f>
        <v>0</v>
      </c>
      <c r="D225" s="642"/>
      <c r="E225" s="640">
        <f t="shared" si="65"/>
        <v>0</v>
      </c>
      <c r="F225" s="643"/>
      <c r="G225" s="643"/>
      <c r="H225" s="643"/>
      <c r="I225" s="643"/>
      <c r="J225" s="643"/>
      <c r="K225" s="643"/>
      <c r="L225" s="643"/>
      <c r="M225" s="643"/>
      <c r="N225" s="643"/>
    </row>
    <row r="226" spans="1:14" ht="15.75" customHeight="1" hidden="1">
      <c r="A226" s="505" t="s">
        <v>148</v>
      </c>
      <c r="B226" s="430" t="s">
        <v>147</v>
      </c>
      <c r="C226" s="635">
        <f>SUM(D226,E226,H226:N226)</f>
        <v>0</v>
      </c>
      <c r="D226" s="642"/>
      <c r="E226" s="640">
        <f>SUM(F226:G226)</f>
        <v>0</v>
      </c>
      <c r="F226" s="643"/>
      <c r="G226" s="643"/>
      <c r="H226" s="643"/>
      <c r="I226" s="643"/>
      <c r="J226" s="643"/>
      <c r="K226" s="643"/>
      <c r="L226" s="643"/>
      <c r="M226" s="643"/>
      <c r="N226" s="643"/>
    </row>
    <row r="227" spans="1:14" ht="17.25" customHeight="1" hidden="1">
      <c r="A227" s="505" t="s">
        <v>185</v>
      </c>
      <c r="B227" s="428" t="s">
        <v>149</v>
      </c>
      <c r="C227" s="635">
        <f>SUM(D227,E227,H227:N227)</f>
        <v>0</v>
      </c>
      <c r="D227" s="642">
        <v>0</v>
      </c>
      <c r="E227" s="640">
        <f>SUM(F227:G227)</f>
        <v>0</v>
      </c>
      <c r="F227" s="643">
        <f>0+0+0</f>
        <v>0</v>
      </c>
      <c r="G227" s="643"/>
      <c r="H227" s="643"/>
      <c r="I227" s="643"/>
      <c r="J227" s="643"/>
      <c r="K227" s="643"/>
      <c r="L227" s="643"/>
      <c r="M227" s="643"/>
      <c r="N227" s="643"/>
    </row>
    <row r="228" spans="1:14" ht="15" hidden="1">
      <c r="A228" s="506" t="s">
        <v>52</v>
      </c>
      <c r="B228" s="394" t="s">
        <v>150</v>
      </c>
      <c r="C228" s="630">
        <f>C218-C219</f>
        <v>66477</v>
      </c>
      <c r="D228" s="630">
        <f>D218-D219</f>
        <v>42937</v>
      </c>
      <c r="E228" s="630">
        <f>E218-E219</f>
        <v>23540</v>
      </c>
      <c r="F228" s="630">
        <f>F218-F219</f>
        <v>0</v>
      </c>
      <c r="G228" s="630">
        <f>G218-G219</f>
        <v>23540</v>
      </c>
      <c r="H228" s="630">
        <f aca="true" t="shared" si="66" ref="H228:N228">H218-H219</f>
        <v>0</v>
      </c>
      <c r="I228" s="630">
        <f t="shared" si="66"/>
        <v>0</v>
      </c>
      <c r="J228" s="630">
        <f t="shared" si="66"/>
        <v>0</v>
      </c>
      <c r="K228" s="630">
        <f t="shared" si="66"/>
        <v>0</v>
      </c>
      <c r="L228" s="630">
        <f t="shared" si="66"/>
        <v>0</v>
      </c>
      <c r="M228" s="630">
        <f t="shared" si="66"/>
        <v>0</v>
      </c>
      <c r="N228" s="630">
        <f t="shared" si="66"/>
        <v>0</v>
      </c>
    </row>
    <row r="229" spans="1:14" ht="24" hidden="1">
      <c r="A229" s="532" t="s">
        <v>538</v>
      </c>
      <c r="B229" s="462" t="s">
        <v>202</v>
      </c>
      <c r="C229" s="530">
        <f>(C220+C221+C222)/C219</f>
        <v>0.2594659226783579</v>
      </c>
      <c r="D229" s="531">
        <f aca="true" t="shared" si="67" ref="D229:N229">(D220+D221+D222)/D219</f>
        <v>0.13772310660877954</v>
      </c>
      <c r="E229" s="530">
        <f t="shared" si="67"/>
        <v>0.1847674124814014</v>
      </c>
      <c r="F229" s="531" t="e">
        <f t="shared" si="67"/>
        <v>#DIV/0!</v>
      </c>
      <c r="G229" s="531">
        <f t="shared" si="67"/>
        <v>0.1847674124814014</v>
      </c>
      <c r="H229" s="531" t="e">
        <f t="shared" si="67"/>
        <v>#DIV/0!</v>
      </c>
      <c r="I229" s="531">
        <f t="shared" si="67"/>
        <v>0.6666666666666666</v>
      </c>
      <c r="J229" s="531" t="e">
        <f t="shared" si="67"/>
        <v>#DIV/0!</v>
      </c>
      <c r="K229" s="531" t="e">
        <f t="shared" si="67"/>
        <v>#DIV/0!</v>
      </c>
      <c r="L229" s="531" t="e">
        <f t="shared" si="67"/>
        <v>#DIV/0!</v>
      </c>
      <c r="M229" s="531" t="e">
        <f t="shared" si="67"/>
        <v>#DIV/0!</v>
      </c>
      <c r="N229" s="531">
        <f t="shared" si="67"/>
        <v>1</v>
      </c>
    </row>
    <row r="230" ht="15"/>
  </sheetData>
  <sheetProtection/>
  <mergeCells count="140">
    <mergeCell ref="N185:N187"/>
    <mergeCell ref="E186:E187"/>
    <mergeCell ref="A188:B188"/>
    <mergeCell ref="A208:B211"/>
    <mergeCell ref="C208:C211"/>
    <mergeCell ref="D209:D211"/>
    <mergeCell ref="D208:N208"/>
    <mergeCell ref="M209:M211"/>
    <mergeCell ref="F210:G210"/>
    <mergeCell ref="F186:G186"/>
    <mergeCell ref="A212:B212"/>
    <mergeCell ref="I209:I211"/>
    <mergeCell ref="J209:J211"/>
    <mergeCell ref="L209:L211"/>
    <mergeCell ref="A164:B164"/>
    <mergeCell ref="A184:B187"/>
    <mergeCell ref="C184:C187"/>
    <mergeCell ref="D184:N184"/>
    <mergeCell ref="D185:D187"/>
    <mergeCell ref="N209:N211"/>
    <mergeCell ref="E209:G209"/>
    <mergeCell ref="E210:E211"/>
    <mergeCell ref="K209:K211"/>
    <mergeCell ref="H209:H211"/>
    <mergeCell ref="M185:M187"/>
    <mergeCell ref="K185:K187"/>
    <mergeCell ref="J185:J187"/>
    <mergeCell ref="K161:K163"/>
    <mergeCell ref="A160:B163"/>
    <mergeCell ref="C160:C163"/>
    <mergeCell ref="D160:N160"/>
    <mergeCell ref="D161:D163"/>
    <mergeCell ref="E161:G161"/>
    <mergeCell ref="N161:N163"/>
    <mergeCell ref="E162:E163"/>
    <mergeCell ref="L161:L163"/>
    <mergeCell ref="M161:M163"/>
    <mergeCell ref="N137:N139"/>
    <mergeCell ref="A140:B140"/>
    <mergeCell ref="E185:G185"/>
    <mergeCell ref="L185:L187"/>
    <mergeCell ref="F162:G162"/>
    <mergeCell ref="H185:H187"/>
    <mergeCell ref="I185:I187"/>
    <mergeCell ref="H161:H163"/>
    <mergeCell ref="I161:I163"/>
    <mergeCell ref="J161:J163"/>
    <mergeCell ref="M137:M139"/>
    <mergeCell ref="A115:B115"/>
    <mergeCell ref="A136:B139"/>
    <mergeCell ref="C136:C139"/>
    <mergeCell ref="L137:L139"/>
    <mergeCell ref="E138:E139"/>
    <mergeCell ref="F138:G138"/>
    <mergeCell ref="D136:N136"/>
    <mergeCell ref="D137:D139"/>
    <mergeCell ref="E137:G137"/>
    <mergeCell ref="M112:M114"/>
    <mergeCell ref="F113:G113"/>
    <mergeCell ref="L88:L90"/>
    <mergeCell ref="M88:M90"/>
    <mergeCell ref="J112:J114"/>
    <mergeCell ref="K112:K114"/>
    <mergeCell ref="L112:L114"/>
    <mergeCell ref="K88:K90"/>
    <mergeCell ref="H88:H90"/>
    <mergeCell ref="H112:H114"/>
    <mergeCell ref="H137:H139"/>
    <mergeCell ref="I137:I139"/>
    <mergeCell ref="J137:J139"/>
    <mergeCell ref="K137:K139"/>
    <mergeCell ref="A91:B91"/>
    <mergeCell ref="A111:B114"/>
    <mergeCell ref="C111:C114"/>
    <mergeCell ref="D111:N111"/>
    <mergeCell ref="D112:D114"/>
    <mergeCell ref="E112:G112"/>
    <mergeCell ref="I112:I114"/>
    <mergeCell ref="N112:N114"/>
    <mergeCell ref="E113:E114"/>
    <mergeCell ref="A67:B67"/>
    <mergeCell ref="A87:B90"/>
    <mergeCell ref="C87:C90"/>
    <mergeCell ref="D87:N87"/>
    <mergeCell ref="D88:D90"/>
    <mergeCell ref="E88:G88"/>
    <mergeCell ref="E89:E90"/>
    <mergeCell ref="F89:G89"/>
    <mergeCell ref="I88:I90"/>
    <mergeCell ref="J88:J90"/>
    <mergeCell ref="A43:B43"/>
    <mergeCell ref="A63:B66"/>
    <mergeCell ref="C63:C66"/>
    <mergeCell ref="D63:N63"/>
    <mergeCell ref="D64:D66"/>
    <mergeCell ref="H64:H66"/>
    <mergeCell ref="I64:I66"/>
    <mergeCell ref="J64:J66"/>
    <mergeCell ref="K64:K66"/>
    <mergeCell ref="L64:L66"/>
    <mergeCell ref="A39:B42"/>
    <mergeCell ref="C39:C42"/>
    <mergeCell ref="D39:N39"/>
    <mergeCell ref="D40:D42"/>
    <mergeCell ref="E40:G40"/>
    <mergeCell ref="F65:G65"/>
    <mergeCell ref="N88:N90"/>
    <mergeCell ref="M40:M42"/>
    <mergeCell ref="N40:N42"/>
    <mergeCell ref="E41:E42"/>
    <mergeCell ref="F41:G41"/>
    <mergeCell ref="M7:M9"/>
    <mergeCell ref="E64:G64"/>
    <mergeCell ref="M64:M66"/>
    <mergeCell ref="N64:N66"/>
    <mergeCell ref="E65:E66"/>
    <mergeCell ref="I7:I9"/>
    <mergeCell ref="H40:H42"/>
    <mergeCell ref="I40:I42"/>
    <mergeCell ref="J40:J42"/>
    <mergeCell ref="K40:K42"/>
    <mergeCell ref="L40:L42"/>
    <mergeCell ref="A10:B10"/>
    <mergeCell ref="D2:I2"/>
    <mergeCell ref="D3:I3"/>
    <mergeCell ref="D6:N6"/>
    <mergeCell ref="L7:L9"/>
    <mergeCell ref="N7:N9"/>
    <mergeCell ref="J7:J9"/>
    <mergeCell ref="H7:H9"/>
    <mergeCell ref="K7:K9"/>
    <mergeCell ref="F8:G8"/>
    <mergeCell ref="E7:G7"/>
    <mergeCell ref="E8:E9"/>
    <mergeCell ref="D7:D9"/>
    <mergeCell ref="A1:B1"/>
    <mergeCell ref="A2:C2"/>
    <mergeCell ref="A3:B3"/>
    <mergeCell ref="A6:B9"/>
    <mergeCell ref="C6:C9"/>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E43"/>
  <sheetViews>
    <sheetView showZeros="0" zoomScale="80" zoomScaleNormal="80" zoomScaleSheetLayoutView="85" zoomScalePageLayoutView="0" workbookViewId="0" topLeftCell="A4">
      <selection activeCell="C28" sqref="C28"/>
    </sheetView>
  </sheetViews>
  <sheetFormatPr defaultColWidth="9.00390625" defaultRowHeight="15.75"/>
  <cols>
    <col min="1" max="1" width="4.25390625" style="422" customWidth="1"/>
    <col min="2" max="2" width="46.875" style="422" customWidth="1"/>
    <col min="3" max="3" width="39.50390625" style="422" customWidth="1"/>
    <col min="4" max="16384" width="9.00390625" style="422" customWidth="1"/>
  </cols>
  <sheetData>
    <row r="1" spans="1:3" s="434" customFormat="1" ht="36" customHeight="1">
      <c r="A1" s="1307" t="s">
        <v>203</v>
      </c>
      <c r="B1" s="1308"/>
      <c r="C1" s="1308"/>
    </row>
    <row r="2" spans="1:3" s="442" customFormat="1" ht="21.75" customHeight="1">
      <c r="A2" s="1318" t="s">
        <v>69</v>
      </c>
      <c r="B2" s="1319"/>
      <c r="C2" s="463" t="s">
        <v>340</v>
      </c>
    </row>
    <row r="3" spans="1:3" s="442" customFormat="1" ht="24.75" customHeight="1">
      <c r="A3" s="1320" t="s">
        <v>6</v>
      </c>
      <c r="B3" s="1321"/>
      <c r="C3" s="19">
        <v>1</v>
      </c>
    </row>
    <row r="4" spans="1:3" ht="21" customHeight="1">
      <c r="A4" s="439" t="s">
        <v>51</v>
      </c>
      <c r="B4" s="519" t="s">
        <v>552</v>
      </c>
      <c r="C4" s="401">
        <f>C5+C6+C7+C8+C9+C10+C11</f>
        <v>235858</v>
      </c>
    </row>
    <row r="5" spans="1:3" s="26" customFormat="1" ht="21" customHeight="1">
      <c r="A5" s="444" t="s">
        <v>53</v>
      </c>
      <c r="B5" s="520" t="s">
        <v>152</v>
      </c>
      <c r="C5" s="405"/>
    </row>
    <row r="6" spans="1:3" s="26" customFormat="1" ht="21" customHeight="1">
      <c r="A6" s="444" t="s">
        <v>54</v>
      </c>
      <c r="B6" s="520" t="s">
        <v>153</v>
      </c>
      <c r="C6" s="405"/>
    </row>
    <row r="7" spans="1:3" s="26" customFormat="1" ht="21" customHeight="1">
      <c r="A7" s="444" t="s">
        <v>140</v>
      </c>
      <c r="B7" s="520" t="s">
        <v>154</v>
      </c>
      <c r="C7" s="405">
        <f>213652+22206</f>
        <v>235858</v>
      </c>
    </row>
    <row r="8" spans="1:3" s="26" customFormat="1" ht="21" customHeight="1">
      <c r="A8" s="444" t="s">
        <v>142</v>
      </c>
      <c r="B8" s="520" t="s">
        <v>155</v>
      </c>
      <c r="C8" s="405"/>
    </row>
    <row r="9" spans="1:3" s="26" customFormat="1" ht="21" customHeight="1">
      <c r="A9" s="444" t="s">
        <v>144</v>
      </c>
      <c r="B9" s="520" t="s">
        <v>156</v>
      </c>
      <c r="C9" s="405"/>
    </row>
    <row r="10" spans="1:3" s="26" customFormat="1" ht="21" customHeight="1">
      <c r="A10" s="444" t="s">
        <v>146</v>
      </c>
      <c r="B10" s="520" t="s">
        <v>157</v>
      </c>
      <c r="C10" s="405"/>
    </row>
    <row r="11" spans="1:3" s="26" customFormat="1" ht="21" customHeight="1">
      <c r="A11" s="444" t="s">
        <v>148</v>
      </c>
      <c r="B11" s="520" t="s">
        <v>159</v>
      </c>
      <c r="C11" s="405"/>
    </row>
    <row r="12" spans="1:3" s="445" customFormat="1" ht="21" customHeight="1">
      <c r="A12" s="439" t="s">
        <v>52</v>
      </c>
      <c r="B12" s="519" t="s">
        <v>548</v>
      </c>
      <c r="C12" s="401">
        <f>C13+C14</f>
        <v>0</v>
      </c>
    </row>
    <row r="13" spans="1:3" s="26" customFormat="1" ht="21" customHeight="1">
      <c r="A13" s="443" t="s">
        <v>55</v>
      </c>
      <c r="B13" s="520" t="s">
        <v>158</v>
      </c>
      <c r="C13" s="405"/>
    </row>
    <row r="14" spans="1:3" ht="21" customHeight="1">
      <c r="A14" s="444" t="s">
        <v>56</v>
      </c>
      <c r="B14" s="520" t="s">
        <v>159</v>
      </c>
      <c r="C14" s="405"/>
    </row>
    <row r="15" spans="1:3" ht="21" customHeight="1">
      <c r="A15" s="439" t="s">
        <v>57</v>
      </c>
      <c r="B15" s="533" t="s">
        <v>149</v>
      </c>
      <c r="C15" s="401">
        <f>C16+C17+C18</f>
        <v>3968</v>
      </c>
    </row>
    <row r="16" spans="1:3" ht="21" customHeight="1">
      <c r="A16" s="444" t="s">
        <v>160</v>
      </c>
      <c r="B16" s="520" t="s">
        <v>188</v>
      </c>
      <c r="C16" s="405">
        <f>3968</f>
        <v>3968</v>
      </c>
    </row>
    <row r="17" spans="1:3" s="26" customFormat="1" ht="30">
      <c r="A17" s="444" t="s">
        <v>162</v>
      </c>
      <c r="B17" s="520" t="s">
        <v>163</v>
      </c>
      <c r="C17" s="405"/>
    </row>
    <row r="18" spans="1:3" s="26" customFormat="1" ht="27" customHeight="1">
      <c r="A18" s="444" t="s">
        <v>164</v>
      </c>
      <c r="B18" s="520" t="s">
        <v>165</v>
      </c>
      <c r="C18" s="405"/>
    </row>
    <row r="19" spans="1:3" s="26" customFormat="1" ht="21" customHeight="1">
      <c r="A19" s="439" t="s">
        <v>72</v>
      </c>
      <c r="B19" s="519" t="s">
        <v>553</v>
      </c>
      <c r="C19" s="401">
        <f>C20+C21+C22+C23+C24+C25</f>
        <v>344658</v>
      </c>
    </row>
    <row r="20" spans="1:3" s="26" customFormat="1" ht="21" customHeight="1">
      <c r="A20" s="444" t="s">
        <v>166</v>
      </c>
      <c r="B20" s="520" t="s">
        <v>167</v>
      </c>
      <c r="C20" s="405">
        <f>15800+4640</f>
        <v>20440</v>
      </c>
    </row>
    <row r="21" spans="1:3" s="26" customFormat="1" ht="21" customHeight="1">
      <c r="A21" s="444" t="s">
        <v>168</v>
      </c>
      <c r="B21" s="520" t="s">
        <v>169</v>
      </c>
      <c r="C21" s="405"/>
    </row>
    <row r="22" spans="1:3" s="26" customFormat="1" ht="21" customHeight="1">
      <c r="A22" s="741" t="s">
        <v>172</v>
      </c>
      <c r="B22" s="520" t="s">
        <v>171</v>
      </c>
      <c r="C22" s="405"/>
    </row>
    <row r="23" spans="1:3" s="26" customFormat="1" ht="21" customHeight="1">
      <c r="A23" s="741" t="s">
        <v>173</v>
      </c>
      <c r="B23" s="520" t="s">
        <v>155</v>
      </c>
      <c r="C23" s="781"/>
    </row>
    <row r="24" spans="1:3" s="26" customFormat="1" ht="21" customHeight="1">
      <c r="A24" s="741" t="s">
        <v>174</v>
      </c>
      <c r="B24" s="520" t="s">
        <v>156</v>
      </c>
      <c r="C24" s="405">
        <f>243400+27736+14614+38468</f>
        <v>324218</v>
      </c>
    </row>
    <row r="25" spans="1:3" s="26" customFormat="1" ht="21" customHeight="1">
      <c r="A25" s="444" t="s">
        <v>174</v>
      </c>
      <c r="B25" s="520" t="s">
        <v>175</v>
      </c>
      <c r="C25" s="405"/>
    </row>
    <row r="26" spans="1:3" s="26" customFormat="1" ht="21" customHeight="1">
      <c r="A26" s="439" t="s">
        <v>73</v>
      </c>
      <c r="B26" s="519" t="s">
        <v>551</v>
      </c>
      <c r="C26" s="401">
        <f>C27+C28+C29</f>
        <v>9324344</v>
      </c>
    </row>
    <row r="27" spans="1:5" s="26" customFormat="1" ht="21" customHeight="1">
      <c r="A27" s="444" t="s">
        <v>176</v>
      </c>
      <c r="B27" s="520" t="s">
        <v>167</v>
      </c>
      <c r="C27" s="405">
        <v>9292695</v>
      </c>
      <c r="E27" s="26" t="s">
        <v>719</v>
      </c>
    </row>
    <row r="28" spans="1:3" ht="21" customHeight="1">
      <c r="A28" s="444" t="s">
        <v>177</v>
      </c>
      <c r="B28" s="520" t="s">
        <v>169</v>
      </c>
      <c r="C28" s="405"/>
    </row>
    <row r="29" spans="1:3" s="26" customFormat="1" ht="21" customHeight="1">
      <c r="A29" s="444" t="s">
        <v>178</v>
      </c>
      <c r="B29" s="520" t="s">
        <v>179</v>
      </c>
      <c r="C29" s="405">
        <f>31649</f>
        <v>31649</v>
      </c>
    </row>
    <row r="30" spans="1:3" s="442" customFormat="1" ht="42" customHeight="1">
      <c r="A30" s="1322" t="str">
        <f>'Thong tin'!B8</f>
        <v>Tuyên Quang, ngày 05 tháng 01 năm 2018</v>
      </c>
      <c r="B30" s="1322"/>
      <c r="C30" s="1322"/>
    </row>
    <row r="31" spans="1:3" s="442" customFormat="1" ht="15.75" customHeight="1">
      <c r="A31" s="1305" t="s">
        <v>180</v>
      </c>
      <c r="B31" s="1305"/>
      <c r="C31" s="521" t="str">
        <f>'Thong tin'!B7</f>
        <v>CỤC TRƯỞNG</v>
      </c>
    </row>
    <row r="32" spans="1:3" s="466" customFormat="1" ht="18.75">
      <c r="A32" s="534"/>
      <c r="B32" s="535"/>
      <c r="C32" s="536"/>
    </row>
    <row r="33" spans="1:3" s="442" customFormat="1" ht="15.75" customHeight="1">
      <c r="A33" s="534"/>
      <c r="B33" s="537"/>
      <c r="C33" s="534"/>
    </row>
    <row r="34" spans="1:3" s="442" customFormat="1" ht="15.75" customHeight="1">
      <c r="A34" s="534"/>
      <c r="B34" s="537"/>
      <c r="C34" s="534"/>
    </row>
    <row r="35" spans="1:3" s="442" customFormat="1" ht="15.75" customHeight="1">
      <c r="A35" s="534"/>
      <c r="B35" s="538"/>
      <c r="C35" s="536"/>
    </row>
    <row r="36" spans="1:3" s="442" customFormat="1" ht="15.75" customHeight="1">
      <c r="A36" s="534"/>
      <c r="B36" s="537"/>
      <c r="C36" s="534"/>
    </row>
    <row r="37" spans="1:3" s="442" customFormat="1" ht="18.75" hidden="1">
      <c r="A37" s="539" t="s">
        <v>46</v>
      </c>
      <c r="B37" s="540"/>
      <c r="C37" s="540"/>
    </row>
    <row r="38" spans="1:3" s="442" customFormat="1" ht="18.75" hidden="1">
      <c r="A38" s="534"/>
      <c r="B38" s="534" t="s">
        <v>49</v>
      </c>
      <c r="C38" s="534"/>
    </row>
    <row r="39" spans="1:3" s="442" customFormat="1" ht="18.75" hidden="1">
      <c r="A39" s="534"/>
      <c r="B39" s="534" t="s">
        <v>63</v>
      </c>
      <c r="C39" s="534"/>
    </row>
    <row r="40" spans="1:3" s="442" customFormat="1" ht="18.75" hidden="1">
      <c r="A40" s="534"/>
      <c r="B40" s="534" t="s">
        <v>61</v>
      </c>
      <c r="C40" s="534"/>
    </row>
    <row r="41" spans="1:3" s="442" customFormat="1" ht="18.75" hidden="1">
      <c r="A41" s="534"/>
      <c r="B41" s="534" t="s">
        <v>64</v>
      </c>
      <c r="C41" s="534"/>
    </row>
    <row r="42" spans="1:3" s="442" customFormat="1" ht="18.75">
      <c r="A42" s="534"/>
      <c r="B42" s="534"/>
      <c r="C42" s="534"/>
    </row>
    <row r="43" spans="1:3" s="442" customFormat="1" ht="18.75">
      <c r="A43" s="1305" t="str">
        <f>'Thong tin'!B5</f>
        <v>Duy Thị Thúy</v>
      </c>
      <c r="B43" s="1305"/>
      <c r="C43" s="529" t="str">
        <f>'Thong tin'!B6</f>
        <v>Nguyễn Tuyên </v>
      </c>
    </row>
  </sheetData>
  <sheetProtection/>
  <mergeCells count="6">
    <mergeCell ref="A31:B31"/>
    <mergeCell ref="A43:B43"/>
    <mergeCell ref="A1:C1"/>
    <mergeCell ref="A2:B2"/>
    <mergeCell ref="A3:B3"/>
    <mergeCell ref="A30:C30"/>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18"/>
  <sheetViews>
    <sheetView showZeros="0" zoomScale="85" zoomScaleNormal="85" zoomScaleSheetLayoutView="85" zoomScalePageLayoutView="0" workbookViewId="0" topLeftCell="A1">
      <selection activeCell="A30" sqref="A30:IV32"/>
    </sheetView>
  </sheetViews>
  <sheetFormatPr defaultColWidth="9.00390625" defaultRowHeight="15.75"/>
  <cols>
    <col min="1" max="1" width="3.625" style="434" customWidth="1"/>
    <col min="2" max="2" width="22.50390625" style="388" customWidth="1"/>
    <col min="3" max="3" width="11.75390625" style="388" customWidth="1"/>
    <col min="4" max="4" width="11.625" style="388" customWidth="1"/>
    <col min="5" max="5" width="9.50390625" style="388" customWidth="1"/>
    <col min="6" max="6" width="9.125" style="388" customWidth="1"/>
    <col min="7" max="7" width="9.25390625" style="388" customWidth="1"/>
    <col min="8" max="8" width="7.50390625" style="388" customWidth="1"/>
    <col min="9" max="9" width="8.25390625" style="388" customWidth="1"/>
    <col min="10" max="10" width="10.75390625" style="388" customWidth="1"/>
    <col min="11" max="11" width="7.375" style="388" customWidth="1"/>
    <col min="12" max="12" width="5.125" style="388" customWidth="1"/>
    <col min="13" max="13" width="5.625" style="388" customWidth="1"/>
    <col min="14" max="14" width="5.00390625" style="388" customWidth="1"/>
    <col min="15" max="16" width="9.00390625" style="388" customWidth="1"/>
    <col min="17" max="17" width="34.375" style="388" customWidth="1"/>
    <col min="18" max="16384" width="9.00390625" style="388" customWidth="1"/>
  </cols>
  <sheetData>
    <row r="1" spans="1:17" ht="24.75" customHeight="1">
      <c r="A1" s="1257" t="s">
        <v>31</v>
      </c>
      <c r="B1" s="1257"/>
      <c r="C1" s="414"/>
      <c r="D1" s="1258" t="s">
        <v>193</v>
      </c>
      <c r="E1" s="1258"/>
      <c r="F1" s="1258"/>
      <c r="G1" s="1258"/>
      <c r="H1" s="1258"/>
      <c r="I1" s="1258"/>
      <c r="J1" s="1258"/>
      <c r="K1" s="1258"/>
      <c r="L1" s="1259" t="s">
        <v>540</v>
      </c>
      <c r="M1" s="1259"/>
      <c r="N1" s="1259"/>
      <c r="O1" s="1259"/>
      <c r="P1" s="413"/>
      <c r="Q1" s="413"/>
    </row>
    <row r="2" spans="1:17" ht="16.5" customHeight="1">
      <c r="A2" s="1315" t="s">
        <v>342</v>
      </c>
      <c r="B2" s="1315"/>
      <c r="C2" s="1315"/>
      <c r="D2" s="1258" t="s">
        <v>182</v>
      </c>
      <c r="E2" s="1258"/>
      <c r="F2" s="1258"/>
      <c r="G2" s="1258"/>
      <c r="H2" s="1258"/>
      <c r="I2" s="1258"/>
      <c r="J2" s="1258"/>
      <c r="K2" s="1258"/>
      <c r="L2" s="1260" t="str">
        <f>'Thong tin'!B4</f>
        <v>Cục THADS tỉnh Tuyên Quang</v>
      </c>
      <c r="M2" s="1260"/>
      <c r="N2" s="1260"/>
      <c r="O2" s="1260"/>
      <c r="P2" s="413"/>
      <c r="Q2" s="423"/>
    </row>
    <row r="3" spans="1:17" ht="16.5" customHeight="1">
      <c r="A3" s="1315" t="s">
        <v>343</v>
      </c>
      <c r="B3" s="1315"/>
      <c r="C3" s="413"/>
      <c r="D3" s="1281" t="str">
        <f>'Thong tin'!B3</f>
        <v>03 tháng / năm 2018</v>
      </c>
      <c r="E3" s="1281"/>
      <c r="F3" s="1281"/>
      <c r="G3" s="1281"/>
      <c r="H3" s="1281"/>
      <c r="I3" s="1281"/>
      <c r="J3" s="1281"/>
      <c r="K3" s="1281"/>
      <c r="L3" s="1259" t="s">
        <v>507</v>
      </c>
      <c r="M3" s="1259"/>
      <c r="N3" s="1259"/>
      <c r="O3" s="1259"/>
      <c r="P3" s="413"/>
      <c r="Q3" s="455"/>
    </row>
    <row r="4" spans="1:17" ht="16.5" customHeight="1">
      <c r="A4" s="417" t="s">
        <v>118</v>
      </c>
      <c r="B4" s="418"/>
      <c r="C4" s="419"/>
      <c r="D4" s="420"/>
      <c r="E4" s="420"/>
      <c r="F4" s="419"/>
      <c r="G4" s="421"/>
      <c r="H4" s="421"/>
      <c r="I4" s="421"/>
      <c r="J4" s="419"/>
      <c r="K4" s="420"/>
      <c r="L4" s="1260" t="s">
        <v>410</v>
      </c>
      <c r="M4" s="1260"/>
      <c r="N4" s="1260"/>
      <c r="O4" s="1260"/>
      <c r="P4" s="413"/>
      <c r="Q4" s="455"/>
    </row>
    <row r="5" spans="1:17" ht="16.5" customHeight="1">
      <c r="A5" s="422"/>
      <c r="B5" s="419"/>
      <c r="C5" s="419"/>
      <c r="D5" s="419"/>
      <c r="E5" s="419"/>
      <c r="F5" s="423"/>
      <c r="G5" s="424"/>
      <c r="H5" s="424"/>
      <c r="I5" s="424"/>
      <c r="J5" s="423"/>
      <c r="K5" s="425"/>
      <c r="L5" s="425"/>
      <c r="M5" s="425" t="s">
        <v>194</v>
      </c>
      <c r="N5" s="467"/>
      <c r="O5" s="413"/>
      <c r="P5" s="413"/>
      <c r="Q5" s="455"/>
    </row>
    <row r="6" spans="1:17" ht="18.75" customHeight="1">
      <c r="A6" s="1272" t="s">
        <v>68</v>
      </c>
      <c r="B6" s="1273"/>
      <c r="C6" s="1278" t="s">
        <v>37</v>
      </c>
      <c r="D6" s="1278" t="s">
        <v>335</v>
      </c>
      <c r="E6" s="1282"/>
      <c r="F6" s="1282"/>
      <c r="G6" s="1282"/>
      <c r="H6" s="1282"/>
      <c r="I6" s="1282"/>
      <c r="J6" s="1282"/>
      <c r="K6" s="1282"/>
      <c r="L6" s="1282"/>
      <c r="M6" s="1282"/>
      <c r="N6" s="1282"/>
      <c r="O6" s="1283"/>
      <c r="P6" s="452"/>
      <c r="Q6" s="457"/>
    </row>
    <row r="7" spans="1:17" ht="20.25" customHeight="1">
      <c r="A7" s="1274"/>
      <c r="B7" s="1275"/>
      <c r="C7" s="1279"/>
      <c r="D7" s="1284" t="s">
        <v>119</v>
      </c>
      <c r="E7" s="1266" t="s">
        <v>120</v>
      </c>
      <c r="F7" s="1267"/>
      <c r="G7" s="1268"/>
      <c r="H7" s="1262" t="s">
        <v>121</v>
      </c>
      <c r="I7" s="1262" t="s">
        <v>122</v>
      </c>
      <c r="J7" s="1262" t="s">
        <v>198</v>
      </c>
      <c r="K7" s="1262" t="s">
        <v>124</v>
      </c>
      <c r="L7" s="1262" t="s">
        <v>125</v>
      </c>
      <c r="M7" s="1262" t="s">
        <v>126</v>
      </c>
      <c r="N7" s="1262" t="s">
        <v>183</v>
      </c>
      <c r="O7" s="1262" t="s">
        <v>127</v>
      </c>
      <c r="P7" s="455"/>
      <c r="Q7" s="455"/>
    </row>
    <row r="8" spans="1:17" ht="21.75" customHeight="1">
      <c r="A8" s="1274"/>
      <c r="B8" s="1275"/>
      <c r="C8" s="1279"/>
      <c r="D8" s="1284"/>
      <c r="E8" s="1271" t="s">
        <v>36</v>
      </c>
      <c r="F8" s="1264" t="s">
        <v>7</v>
      </c>
      <c r="G8" s="1265"/>
      <c r="H8" s="1262"/>
      <c r="I8" s="1262"/>
      <c r="J8" s="1262"/>
      <c r="K8" s="1262"/>
      <c r="L8" s="1262"/>
      <c r="M8" s="1262"/>
      <c r="N8" s="1262"/>
      <c r="O8" s="1262"/>
      <c r="P8" s="1325"/>
      <c r="Q8" s="1325"/>
    </row>
    <row r="9" spans="1:17" ht="33" customHeight="1">
      <c r="A9" s="1276"/>
      <c r="B9" s="1277"/>
      <c r="C9" s="1279"/>
      <c r="D9" s="1285"/>
      <c r="E9" s="1263"/>
      <c r="F9" s="557" t="s">
        <v>199</v>
      </c>
      <c r="G9" s="558" t="s">
        <v>200</v>
      </c>
      <c r="H9" s="1263"/>
      <c r="I9" s="1263"/>
      <c r="J9" s="1263"/>
      <c r="K9" s="1263"/>
      <c r="L9" s="1263"/>
      <c r="M9" s="1263"/>
      <c r="N9" s="1263"/>
      <c r="O9" s="1263"/>
      <c r="P9" s="458"/>
      <c r="Q9" s="458"/>
    </row>
    <row r="10" spans="1:17" s="393" customFormat="1" ht="22.5" customHeight="1">
      <c r="A10" s="1269" t="s">
        <v>39</v>
      </c>
      <c r="B10" s="1270"/>
      <c r="C10" s="503">
        <v>1</v>
      </c>
      <c r="D10" s="503">
        <v>2</v>
      </c>
      <c r="E10" s="503">
        <v>3</v>
      </c>
      <c r="F10" s="503">
        <v>4</v>
      </c>
      <c r="G10" s="503">
        <v>5</v>
      </c>
      <c r="H10" s="503">
        <v>6</v>
      </c>
      <c r="I10" s="503">
        <v>7</v>
      </c>
      <c r="J10" s="503">
        <v>8</v>
      </c>
      <c r="K10" s="503">
        <v>9</v>
      </c>
      <c r="L10" s="503">
        <v>10</v>
      </c>
      <c r="M10" s="503">
        <v>11</v>
      </c>
      <c r="N10" s="503">
        <v>12</v>
      </c>
      <c r="O10" s="503">
        <v>13</v>
      </c>
      <c r="P10" s="468"/>
      <c r="Q10" s="468"/>
    </row>
    <row r="11" spans="1:17" s="920" customFormat="1" ht="21" customHeight="1">
      <c r="A11" s="917" t="s">
        <v>0</v>
      </c>
      <c r="B11" s="918" t="s">
        <v>130</v>
      </c>
      <c r="C11" s="646">
        <f aca="true" t="shared" si="0" ref="C11:C17">SUM(D11,E11,H11:O11)</f>
        <v>95906859</v>
      </c>
      <c r="D11" s="782">
        <f>SUM(D12:D13)</f>
        <v>74276161</v>
      </c>
      <c r="E11" s="782">
        <f aca="true" t="shared" si="1" ref="E11:O11">SUM(E12:E13)</f>
        <v>9917490</v>
      </c>
      <c r="F11" s="782">
        <f t="shared" si="1"/>
        <v>0</v>
      </c>
      <c r="G11" s="782">
        <f t="shared" si="1"/>
        <v>9917490</v>
      </c>
      <c r="H11" s="782">
        <f t="shared" si="1"/>
        <v>0</v>
      </c>
      <c r="I11" s="782">
        <f t="shared" si="1"/>
        <v>2162002</v>
      </c>
      <c r="J11" s="782">
        <f t="shared" si="1"/>
        <v>9455235</v>
      </c>
      <c r="K11" s="782">
        <f>SUM(K12:K13)</f>
        <v>57471</v>
      </c>
      <c r="L11" s="782">
        <f t="shared" si="1"/>
        <v>0</v>
      </c>
      <c r="M11" s="782">
        <f t="shared" si="1"/>
        <v>0</v>
      </c>
      <c r="N11" s="782">
        <f t="shared" si="1"/>
        <v>0</v>
      </c>
      <c r="O11" s="782">
        <f t="shared" si="1"/>
        <v>38500</v>
      </c>
      <c r="P11" s="919"/>
      <c r="Q11" s="919"/>
    </row>
    <row r="12" spans="1:17" s="920" customFormat="1" ht="21" customHeight="1">
      <c r="A12" s="921">
        <v>1</v>
      </c>
      <c r="B12" s="922" t="s">
        <v>131</v>
      </c>
      <c r="C12" s="656">
        <f t="shared" si="0"/>
        <v>85149759</v>
      </c>
      <c r="D12" s="655">
        <f>D40+D64+D87+D111+D135+D158+D181+D204</f>
        <v>68234637</v>
      </c>
      <c r="E12" s="914">
        <f aca="true" t="shared" si="2" ref="E12:E24">SUM(F12:G12)</f>
        <v>7866131</v>
      </c>
      <c r="F12" s="655">
        <f>F40+F64+F87+F111+F135+F158+F181+F204</f>
        <v>0</v>
      </c>
      <c r="G12" s="655">
        <f aca="true" t="shared" si="3" ref="G12:O12">G40+G64+G87+G111+G135+G158+G181+G204</f>
        <v>7866131</v>
      </c>
      <c r="H12" s="655">
        <f t="shared" si="3"/>
        <v>0</v>
      </c>
      <c r="I12" s="655">
        <f t="shared" si="3"/>
        <v>785134</v>
      </c>
      <c r="J12" s="655">
        <f t="shared" si="3"/>
        <v>8167886</v>
      </c>
      <c r="K12" s="655">
        <f t="shared" si="3"/>
        <v>57471</v>
      </c>
      <c r="L12" s="655">
        <f t="shared" si="3"/>
        <v>0</v>
      </c>
      <c r="M12" s="655">
        <f t="shared" si="3"/>
        <v>0</v>
      </c>
      <c r="N12" s="655">
        <f t="shared" si="3"/>
        <v>0</v>
      </c>
      <c r="O12" s="655">
        <f t="shared" si="3"/>
        <v>38500</v>
      </c>
      <c r="P12" s="919"/>
      <c r="Q12" s="919"/>
    </row>
    <row r="13" spans="1:17" s="920" customFormat="1" ht="21" customHeight="1">
      <c r="A13" s="921">
        <v>2</v>
      </c>
      <c r="B13" s="922" t="s">
        <v>132</v>
      </c>
      <c r="C13" s="656">
        <f t="shared" si="0"/>
        <v>10757100</v>
      </c>
      <c r="D13" s="655">
        <f>D41+D65+D88+D112+D136+D159+D182+D205</f>
        <v>6041524</v>
      </c>
      <c r="E13" s="914">
        <f t="shared" si="2"/>
        <v>2051359</v>
      </c>
      <c r="F13" s="655">
        <f aca="true" t="shared" si="4" ref="F13:O15">F41+F65+F88+F112+F136+F159+F182+F205</f>
        <v>0</v>
      </c>
      <c r="G13" s="655">
        <f t="shared" si="4"/>
        <v>2051359</v>
      </c>
      <c r="H13" s="655">
        <f t="shared" si="4"/>
        <v>0</v>
      </c>
      <c r="I13" s="655">
        <f t="shared" si="4"/>
        <v>1376868</v>
      </c>
      <c r="J13" s="655">
        <f t="shared" si="4"/>
        <v>1287349</v>
      </c>
      <c r="K13" s="655">
        <f t="shared" si="4"/>
        <v>0</v>
      </c>
      <c r="L13" s="655">
        <f t="shared" si="4"/>
        <v>0</v>
      </c>
      <c r="M13" s="655">
        <f t="shared" si="4"/>
        <v>0</v>
      </c>
      <c r="N13" s="655">
        <f t="shared" si="4"/>
        <v>0</v>
      </c>
      <c r="O13" s="655">
        <f t="shared" si="4"/>
        <v>0</v>
      </c>
      <c r="P13" s="919"/>
      <c r="Q13" s="919"/>
    </row>
    <row r="14" spans="1:17" s="920" customFormat="1" ht="21" customHeight="1">
      <c r="A14" s="20" t="s">
        <v>1</v>
      </c>
      <c r="B14" s="923" t="s">
        <v>133</v>
      </c>
      <c r="C14" s="656">
        <f t="shared" si="0"/>
        <v>7577288</v>
      </c>
      <c r="D14" s="655">
        <f>D42+D66+D89+D113+D137+D160+D183+D206</f>
        <v>0</v>
      </c>
      <c r="E14" s="914">
        <f t="shared" si="2"/>
        <v>47000</v>
      </c>
      <c r="F14" s="655">
        <f t="shared" si="4"/>
        <v>0</v>
      </c>
      <c r="G14" s="655">
        <f t="shared" si="4"/>
        <v>47000</v>
      </c>
      <c r="H14" s="655">
        <f t="shared" si="4"/>
        <v>0</v>
      </c>
      <c r="I14" s="655">
        <f t="shared" si="4"/>
        <v>75000</v>
      </c>
      <c r="J14" s="655">
        <f t="shared" si="4"/>
        <v>7455288</v>
      </c>
      <c r="K14" s="655">
        <f t="shared" si="4"/>
        <v>0</v>
      </c>
      <c r="L14" s="655">
        <f t="shared" si="4"/>
        <v>0</v>
      </c>
      <c r="M14" s="655">
        <f t="shared" si="4"/>
        <v>0</v>
      </c>
      <c r="N14" s="655">
        <f t="shared" si="4"/>
        <v>0</v>
      </c>
      <c r="O14" s="655">
        <f t="shared" si="4"/>
        <v>0</v>
      </c>
      <c r="P14" s="919"/>
      <c r="Q14" s="919"/>
    </row>
    <row r="15" spans="1:17" s="920" customFormat="1" ht="21" customHeight="1">
      <c r="A15" s="20" t="s">
        <v>9</v>
      </c>
      <c r="B15" s="923" t="s">
        <v>134</v>
      </c>
      <c r="C15" s="656">
        <f t="shared" si="0"/>
        <v>0</v>
      </c>
      <c r="D15" s="914">
        <f>D43+D67+D90+D114+D138+D161+D184+D207</f>
        <v>0</v>
      </c>
      <c r="E15" s="914">
        <f t="shared" si="2"/>
        <v>0</v>
      </c>
      <c r="F15" s="655">
        <f t="shared" si="4"/>
        <v>0</v>
      </c>
      <c r="G15" s="914"/>
      <c r="H15" s="914">
        <f aca="true" t="shared" si="5" ref="H15:O15">H43+H67+H90+H114+H138+H161+H184+H207</f>
        <v>0</v>
      </c>
      <c r="I15" s="914">
        <f t="shared" si="5"/>
        <v>0</v>
      </c>
      <c r="J15" s="914">
        <f t="shared" si="5"/>
        <v>0</v>
      </c>
      <c r="K15" s="914">
        <f t="shared" si="5"/>
        <v>0</v>
      </c>
      <c r="L15" s="914">
        <f t="shared" si="5"/>
        <v>0</v>
      </c>
      <c r="M15" s="914">
        <f t="shared" si="5"/>
        <v>0</v>
      </c>
      <c r="N15" s="914">
        <f t="shared" si="5"/>
        <v>0</v>
      </c>
      <c r="O15" s="914">
        <f t="shared" si="5"/>
        <v>0</v>
      </c>
      <c r="P15" s="919"/>
      <c r="Q15" s="919"/>
    </row>
    <row r="16" spans="1:17" s="920" customFormat="1" ht="21" customHeight="1">
      <c r="A16" s="20" t="s">
        <v>135</v>
      </c>
      <c r="B16" s="923" t="s">
        <v>136</v>
      </c>
      <c r="C16" s="783">
        <f t="shared" si="0"/>
        <v>88329571</v>
      </c>
      <c r="D16" s="783">
        <f>D11-SUM(D14,D15)</f>
        <v>74276161</v>
      </c>
      <c r="E16" s="784">
        <f t="shared" si="2"/>
        <v>9870490</v>
      </c>
      <c r="F16" s="783">
        <f aca="true" t="shared" si="6" ref="F16:O16">F11-SUM(F14,F15)</f>
        <v>0</v>
      </c>
      <c r="G16" s="783">
        <f>G11-SUM(G14)</f>
        <v>9870490</v>
      </c>
      <c r="H16" s="783">
        <f t="shared" si="6"/>
        <v>0</v>
      </c>
      <c r="I16" s="783">
        <f t="shared" si="6"/>
        <v>2087002</v>
      </c>
      <c r="J16" s="783">
        <f t="shared" si="6"/>
        <v>1999947</v>
      </c>
      <c r="K16" s="783">
        <f t="shared" si="6"/>
        <v>57471</v>
      </c>
      <c r="L16" s="783">
        <f t="shared" si="6"/>
        <v>0</v>
      </c>
      <c r="M16" s="783">
        <f t="shared" si="6"/>
        <v>0</v>
      </c>
      <c r="N16" s="783">
        <f t="shared" si="6"/>
        <v>0</v>
      </c>
      <c r="O16" s="783">
        <f t="shared" si="6"/>
        <v>38500</v>
      </c>
      <c r="P16" s="919"/>
      <c r="Q16" s="467"/>
    </row>
    <row r="17" spans="1:17" s="920" customFormat="1" ht="21" customHeight="1">
      <c r="A17" s="20" t="s">
        <v>51</v>
      </c>
      <c r="B17" s="924" t="s">
        <v>137</v>
      </c>
      <c r="C17" s="783">
        <f t="shared" si="0"/>
        <v>38022877</v>
      </c>
      <c r="D17" s="785">
        <f aca="true" t="shared" si="7" ref="D17:O17">SUM(D18:D24)</f>
        <v>33464742</v>
      </c>
      <c r="E17" s="784">
        <f t="shared" si="2"/>
        <v>1535419</v>
      </c>
      <c r="F17" s="785">
        <f t="shared" si="7"/>
        <v>0</v>
      </c>
      <c r="G17" s="785">
        <f t="shared" si="7"/>
        <v>1535419</v>
      </c>
      <c r="H17" s="785">
        <f t="shared" si="7"/>
        <v>0</v>
      </c>
      <c r="I17" s="785">
        <f t="shared" si="7"/>
        <v>1533628</v>
      </c>
      <c r="J17" s="785">
        <f t="shared" si="7"/>
        <v>1450588</v>
      </c>
      <c r="K17" s="785">
        <f t="shared" si="7"/>
        <v>0</v>
      </c>
      <c r="L17" s="785">
        <f t="shared" si="7"/>
        <v>0</v>
      </c>
      <c r="M17" s="785">
        <f t="shared" si="7"/>
        <v>0</v>
      </c>
      <c r="N17" s="785">
        <f t="shared" si="7"/>
        <v>0</v>
      </c>
      <c r="O17" s="785">
        <f t="shared" si="7"/>
        <v>38500</v>
      </c>
      <c r="P17" s="919"/>
      <c r="Q17" s="467"/>
    </row>
    <row r="18" spans="1:17" s="920" customFormat="1" ht="21" customHeight="1">
      <c r="A18" s="921" t="s">
        <v>53</v>
      </c>
      <c r="B18" s="922" t="s">
        <v>138</v>
      </c>
      <c r="C18" s="656">
        <f>SUM(C46+C70+C93+C117+C141+C164+C187+C210)</f>
        <v>2289324</v>
      </c>
      <c r="D18" s="655">
        <f>D46+D70+D93+D117+D141+D164+D187+D210</f>
        <v>1451889</v>
      </c>
      <c r="E18" s="914">
        <f t="shared" si="2"/>
        <v>243193</v>
      </c>
      <c r="F18" s="655">
        <f>F46+F70+F93+F117+F141+F164+F187+F210</f>
        <v>0</v>
      </c>
      <c r="G18" s="655">
        <f aca="true" t="shared" si="8" ref="G18:O18">G46+G70+G93+G117+G141+G164+G187+G210</f>
        <v>243193</v>
      </c>
      <c r="H18" s="655">
        <f t="shared" si="8"/>
        <v>0</v>
      </c>
      <c r="I18" s="655">
        <f t="shared" si="8"/>
        <v>497242</v>
      </c>
      <c r="J18" s="655">
        <f t="shared" si="8"/>
        <v>97000</v>
      </c>
      <c r="K18" s="655">
        <f t="shared" si="8"/>
        <v>0</v>
      </c>
      <c r="L18" s="655">
        <f t="shared" si="8"/>
        <v>0</v>
      </c>
      <c r="M18" s="655">
        <f t="shared" si="8"/>
        <v>0</v>
      </c>
      <c r="N18" s="655">
        <f t="shared" si="8"/>
        <v>0</v>
      </c>
      <c r="O18" s="655">
        <f t="shared" si="8"/>
        <v>0</v>
      </c>
      <c r="P18" s="919"/>
      <c r="Q18" s="467"/>
    </row>
    <row r="19" spans="1:17" s="920" customFormat="1" ht="21" customHeight="1">
      <c r="A19" s="921" t="s">
        <v>54</v>
      </c>
      <c r="B19" s="922" t="s">
        <v>139</v>
      </c>
      <c r="C19" s="656">
        <f aca="true" t="shared" si="9" ref="C19:C24">SUM(C47+C71+C94+C118+C142+C165+C188+C211)</f>
        <v>745315</v>
      </c>
      <c r="D19" s="655">
        <f aca="true" t="shared" si="10" ref="D19:D24">D47+D71+D94+D118+D142+D165+D188+D211</f>
        <v>279982</v>
      </c>
      <c r="E19" s="914">
        <f t="shared" si="2"/>
        <v>2602</v>
      </c>
      <c r="F19" s="655">
        <f aca="true" t="shared" si="11" ref="F19:O24">F47+F71+F94+F118+F142+F165+F188+F211</f>
        <v>0</v>
      </c>
      <c r="G19" s="655">
        <f t="shared" si="11"/>
        <v>2602</v>
      </c>
      <c r="H19" s="655">
        <f t="shared" si="11"/>
        <v>0</v>
      </c>
      <c r="I19" s="655">
        <f t="shared" si="11"/>
        <v>0</v>
      </c>
      <c r="J19" s="655">
        <f t="shared" si="11"/>
        <v>462731</v>
      </c>
      <c r="K19" s="655">
        <f t="shared" si="11"/>
        <v>0</v>
      </c>
      <c r="L19" s="655">
        <f t="shared" si="11"/>
        <v>0</v>
      </c>
      <c r="M19" s="655">
        <f t="shared" si="11"/>
        <v>0</v>
      </c>
      <c r="N19" s="655">
        <f t="shared" si="11"/>
        <v>0</v>
      </c>
      <c r="O19" s="655">
        <f t="shared" si="11"/>
        <v>0</v>
      </c>
      <c r="P19" s="919"/>
      <c r="Q19" s="467"/>
    </row>
    <row r="20" spans="1:17" s="920" customFormat="1" ht="21" customHeight="1">
      <c r="A20" s="921" t="s">
        <v>140</v>
      </c>
      <c r="B20" s="922" t="s">
        <v>141</v>
      </c>
      <c r="C20" s="656">
        <f t="shared" si="9"/>
        <v>18391698</v>
      </c>
      <c r="D20" s="655">
        <f t="shared" si="10"/>
        <v>15136331</v>
      </c>
      <c r="E20" s="914">
        <f t="shared" si="2"/>
        <v>1289624</v>
      </c>
      <c r="F20" s="655">
        <f t="shared" si="11"/>
        <v>0</v>
      </c>
      <c r="G20" s="655">
        <f t="shared" si="11"/>
        <v>1289624</v>
      </c>
      <c r="H20" s="655">
        <f t="shared" si="11"/>
        <v>0</v>
      </c>
      <c r="I20" s="655">
        <f t="shared" si="11"/>
        <v>1036386</v>
      </c>
      <c r="J20" s="655">
        <f t="shared" si="11"/>
        <v>890857</v>
      </c>
      <c r="K20" s="655">
        <f t="shared" si="11"/>
        <v>0</v>
      </c>
      <c r="L20" s="655">
        <f t="shared" si="11"/>
        <v>0</v>
      </c>
      <c r="M20" s="655">
        <f t="shared" si="11"/>
        <v>0</v>
      </c>
      <c r="N20" s="655">
        <f t="shared" si="11"/>
        <v>0</v>
      </c>
      <c r="O20" s="655">
        <f t="shared" si="11"/>
        <v>38500</v>
      </c>
      <c r="P20" s="919"/>
      <c r="Q20" s="467"/>
    </row>
    <row r="21" spans="1:17" s="920" customFormat="1" ht="21" customHeight="1">
      <c r="A21" s="921" t="s">
        <v>142</v>
      </c>
      <c r="B21" s="922" t="s">
        <v>143</v>
      </c>
      <c r="C21" s="656">
        <f t="shared" si="9"/>
        <v>16476540</v>
      </c>
      <c r="D21" s="655">
        <f t="shared" si="10"/>
        <v>16476540</v>
      </c>
      <c r="E21" s="661">
        <f t="shared" si="2"/>
        <v>0</v>
      </c>
      <c r="F21" s="655">
        <f t="shared" si="11"/>
        <v>0</v>
      </c>
      <c r="G21" s="655">
        <f t="shared" si="11"/>
        <v>0</v>
      </c>
      <c r="H21" s="655">
        <f t="shared" si="11"/>
        <v>0</v>
      </c>
      <c r="I21" s="655">
        <f t="shared" si="11"/>
        <v>0</v>
      </c>
      <c r="J21" s="655">
        <f t="shared" si="11"/>
        <v>0</v>
      </c>
      <c r="K21" s="655">
        <f t="shared" si="11"/>
        <v>0</v>
      </c>
      <c r="L21" s="655">
        <f t="shared" si="11"/>
        <v>0</v>
      </c>
      <c r="M21" s="655">
        <f t="shared" si="11"/>
        <v>0</v>
      </c>
      <c r="N21" s="655">
        <f t="shared" si="11"/>
        <v>0</v>
      </c>
      <c r="O21" s="655">
        <f t="shared" si="11"/>
        <v>0</v>
      </c>
      <c r="P21" s="919"/>
      <c r="Q21" s="467"/>
    </row>
    <row r="22" spans="1:17" s="920" customFormat="1" ht="21" customHeight="1">
      <c r="A22" s="921" t="s">
        <v>144</v>
      </c>
      <c r="B22" s="922" t="s">
        <v>145</v>
      </c>
      <c r="C22" s="656">
        <f t="shared" si="9"/>
        <v>0</v>
      </c>
      <c r="D22" s="655">
        <f t="shared" si="10"/>
        <v>0</v>
      </c>
      <c r="E22" s="661">
        <f t="shared" si="2"/>
        <v>0</v>
      </c>
      <c r="F22" s="655">
        <f t="shared" si="11"/>
        <v>0</v>
      </c>
      <c r="G22" s="655">
        <f t="shared" si="11"/>
        <v>0</v>
      </c>
      <c r="H22" s="655">
        <f t="shared" si="11"/>
        <v>0</v>
      </c>
      <c r="I22" s="655">
        <f t="shared" si="11"/>
        <v>0</v>
      </c>
      <c r="J22" s="655">
        <f t="shared" si="11"/>
        <v>0</v>
      </c>
      <c r="K22" s="655">
        <f t="shared" si="11"/>
        <v>0</v>
      </c>
      <c r="L22" s="655">
        <f t="shared" si="11"/>
        <v>0</v>
      </c>
      <c r="M22" s="655">
        <f t="shared" si="11"/>
        <v>0</v>
      </c>
      <c r="N22" s="655">
        <f t="shared" si="11"/>
        <v>0</v>
      </c>
      <c r="O22" s="655">
        <f t="shared" si="11"/>
        <v>0</v>
      </c>
      <c r="P22" s="919"/>
      <c r="Q22" s="467"/>
    </row>
    <row r="23" spans="1:17" s="920" customFormat="1" ht="36" customHeight="1">
      <c r="A23" s="921" t="s">
        <v>146</v>
      </c>
      <c r="B23" s="925" t="s">
        <v>147</v>
      </c>
      <c r="C23" s="656">
        <f t="shared" si="9"/>
        <v>0</v>
      </c>
      <c r="D23" s="655">
        <f t="shared" si="10"/>
        <v>0</v>
      </c>
      <c r="E23" s="661">
        <f>SUM(F23:G23)</f>
        <v>0</v>
      </c>
      <c r="F23" s="655">
        <f t="shared" si="11"/>
        <v>0</v>
      </c>
      <c r="G23" s="655">
        <f t="shared" si="11"/>
        <v>0</v>
      </c>
      <c r="H23" s="655">
        <f t="shared" si="11"/>
        <v>0</v>
      </c>
      <c r="I23" s="655">
        <f t="shared" si="11"/>
        <v>0</v>
      </c>
      <c r="J23" s="655">
        <f t="shared" si="11"/>
        <v>0</v>
      </c>
      <c r="K23" s="655">
        <f t="shared" si="11"/>
        <v>0</v>
      </c>
      <c r="L23" s="655">
        <f t="shared" si="11"/>
        <v>0</v>
      </c>
      <c r="M23" s="655">
        <f t="shared" si="11"/>
        <v>0</v>
      </c>
      <c r="N23" s="655">
        <f t="shared" si="11"/>
        <v>0</v>
      </c>
      <c r="O23" s="655">
        <f t="shared" si="11"/>
        <v>0</v>
      </c>
      <c r="P23" s="919"/>
      <c r="Q23" s="467"/>
    </row>
    <row r="24" spans="1:17" s="920" customFormat="1" ht="21" customHeight="1">
      <c r="A24" s="921" t="s">
        <v>148</v>
      </c>
      <c r="B24" s="922" t="s">
        <v>149</v>
      </c>
      <c r="C24" s="656">
        <f t="shared" si="9"/>
        <v>120000</v>
      </c>
      <c r="D24" s="655">
        <f t="shared" si="10"/>
        <v>120000</v>
      </c>
      <c r="E24" s="661">
        <f t="shared" si="2"/>
        <v>0</v>
      </c>
      <c r="F24" s="655">
        <f t="shared" si="11"/>
        <v>0</v>
      </c>
      <c r="G24" s="655">
        <f t="shared" si="11"/>
        <v>0</v>
      </c>
      <c r="H24" s="655">
        <f t="shared" si="11"/>
        <v>0</v>
      </c>
      <c r="I24" s="655">
        <f t="shared" si="11"/>
        <v>0</v>
      </c>
      <c r="J24" s="655">
        <f t="shared" si="11"/>
        <v>0</v>
      </c>
      <c r="K24" s="655">
        <f t="shared" si="11"/>
        <v>0</v>
      </c>
      <c r="L24" s="655">
        <f t="shared" si="11"/>
        <v>0</v>
      </c>
      <c r="M24" s="655">
        <f t="shared" si="11"/>
        <v>0</v>
      </c>
      <c r="N24" s="655">
        <f t="shared" si="11"/>
        <v>0</v>
      </c>
      <c r="O24" s="655">
        <f t="shared" si="11"/>
        <v>0</v>
      </c>
      <c r="P24" s="919"/>
      <c r="Q24" s="467"/>
    </row>
    <row r="25" spans="1:17" s="920" customFormat="1" ht="39.75" customHeight="1">
      <c r="A25" s="20" t="s">
        <v>52</v>
      </c>
      <c r="B25" s="923" t="s">
        <v>150</v>
      </c>
      <c r="C25" s="646">
        <f>C16-C17</f>
        <v>50306694</v>
      </c>
      <c r="D25" s="646">
        <f>D16-D17</f>
        <v>40811419</v>
      </c>
      <c r="E25" s="646">
        <f aca="true" t="shared" si="12" ref="E25:O25">E16-E17</f>
        <v>8335071</v>
      </c>
      <c r="F25" s="646">
        <f t="shared" si="12"/>
        <v>0</v>
      </c>
      <c r="G25" s="646">
        <f t="shared" si="12"/>
        <v>8335071</v>
      </c>
      <c r="H25" s="646">
        <f t="shared" si="12"/>
        <v>0</v>
      </c>
      <c r="I25" s="646">
        <f t="shared" si="12"/>
        <v>553374</v>
      </c>
      <c r="J25" s="646">
        <f t="shared" si="12"/>
        <v>549359</v>
      </c>
      <c r="K25" s="646">
        <f t="shared" si="12"/>
        <v>57471</v>
      </c>
      <c r="L25" s="646">
        <f t="shared" si="12"/>
        <v>0</v>
      </c>
      <c r="M25" s="646">
        <f t="shared" si="12"/>
        <v>0</v>
      </c>
      <c r="N25" s="646">
        <f t="shared" si="12"/>
        <v>0</v>
      </c>
      <c r="O25" s="646">
        <f t="shared" si="12"/>
        <v>0</v>
      </c>
      <c r="P25" s="919"/>
      <c r="Q25" s="467"/>
    </row>
    <row r="26" spans="1:17" s="920" customFormat="1" ht="30">
      <c r="A26" s="926" t="s">
        <v>538</v>
      </c>
      <c r="B26" s="927" t="s">
        <v>731</v>
      </c>
      <c r="C26" s="530">
        <f>(C18+C19)/C17</f>
        <v>0.07981087280691569</v>
      </c>
      <c r="D26" s="530">
        <f aca="true" t="shared" si="13" ref="D26:O26">(D18+D19)/D17</f>
        <v>0.051752109727904075</v>
      </c>
      <c r="E26" s="530">
        <f t="shared" si="13"/>
        <v>0.1600833388150075</v>
      </c>
      <c r="F26" s="530" t="e">
        <f t="shared" si="13"/>
        <v>#DIV/0!</v>
      </c>
      <c r="G26" s="530">
        <f t="shared" si="13"/>
        <v>0.1600833388150075</v>
      </c>
      <c r="H26" s="530" t="e">
        <f t="shared" si="13"/>
        <v>#DIV/0!</v>
      </c>
      <c r="I26" s="530">
        <f t="shared" si="13"/>
        <v>0.32422595309944785</v>
      </c>
      <c r="J26" s="530">
        <f t="shared" si="13"/>
        <v>0.3858649044387517</v>
      </c>
      <c r="K26" s="530" t="e">
        <f t="shared" si="13"/>
        <v>#DIV/0!</v>
      </c>
      <c r="L26" s="531" t="e">
        <f t="shared" si="13"/>
        <v>#DIV/0!</v>
      </c>
      <c r="M26" s="531" t="e">
        <f t="shared" si="13"/>
        <v>#DIV/0!</v>
      </c>
      <c r="N26" s="531" t="e">
        <f t="shared" si="13"/>
        <v>#DIV/0!</v>
      </c>
      <c r="O26" s="530">
        <f t="shared" si="13"/>
        <v>0</v>
      </c>
      <c r="P26" s="919"/>
      <c r="Q26" s="467"/>
    </row>
    <row r="27" s="920" customFormat="1" ht="8.25" customHeight="1">
      <c r="A27" s="928"/>
    </row>
    <row r="28" s="920" customFormat="1" ht="7.5" customHeight="1">
      <c r="A28" s="928"/>
    </row>
    <row r="29" s="920" customFormat="1" ht="21" customHeight="1">
      <c r="A29" s="928"/>
    </row>
    <row r="30" s="920" customFormat="1" ht="18.75" customHeight="1">
      <c r="A30" s="928"/>
    </row>
    <row r="31" s="920" customFormat="1" ht="24" customHeight="1">
      <c r="A31" s="928"/>
    </row>
    <row r="32" s="920" customFormat="1" ht="13.5" customHeight="1">
      <c r="A32" s="928"/>
    </row>
    <row r="33" spans="1:2" s="920" customFormat="1" ht="0.75" customHeight="1">
      <c r="A33" s="928"/>
      <c r="B33" s="929" t="s">
        <v>700</v>
      </c>
    </row>
    <row r="34" spans="1:15" s="920" customFormat="1" ht="15" customHeight="1">
      <c r="A34" s="1272" t="s">
        <v>68</v>
      </c>
      <c r="B34" s="1273"/>
      <c r="C34" s="1278" t="s">
        <v>37</v>
      </c>
      <c r="D34" s="1278" t="s">
        <v>335</v>
      </c>
      <c r="E34" s="1282"/>
      <c r="F34" s="1282"/>
      <c r="G34" s="1282"/>
      <c r="H34" s="1282"/>
      <c r="I34" s="1282"/>
      <c r="J34" s="1282"/>
      <c r="K34" s="1282"/>
      <c r="L34" s="1282"/>
      <c r="M34" s="1282"/>
      <c r="N34" s="1282"/>
      <c r="O34" s="1283"/>
    </row>
    <row r="35" spans="1:15" s="920" customFormat="1" ht="15" customHeight="1">
      <c r="A35" s="1274"/>
      <c r="B35" s="1275"/>
      <c r="C35" s="1279"/>
      <c r="D35" s="1284" t="s">
        <v>119</v>
      </c>
      <c r="E35" s="1266" t="s">
        <v>120</v>
      </c>
      <c r="F35" s="1267"/>
      <c r="G35" s="1268"/>
      <c r="H35" s="1262" t="s">
        <v>121</v>
      </c>
      <c r="I35" s="1262" t="s">
        <v>122</v>
      </c>
      <c r="J35" s="1262" t="s">
        <v>198</v>
      </c>
      <c r="K35" s="1262" t="s">
        <v>124</v>
      </c>
      <c r="L35" s="1262" t="s">
        <v>125</v>
      </c>
      <c r="M35" s="1262" t="s">
        <v>126</v>
      </c>
      <c r="N35" s="1262" t="s">
        <v>183</v>
      </c>
      <c r="O35" s="1262" t="s">
        <v>127</v>
      </c>
    </row>
    <row r="36" spans="1:15" s="920" customFormat="1" ht="15">
      <c r="A36" s="1274"/>
      <c r="B36" s="1275"/>
      <c r="C36" s="1279"/>
      <c r="D36" s="1284"/>
      <c r="E36" s="1271" t="s">
        <v>36</v>
      </c>
      <c r="F36" s="1264" t="s">
        <v>7</v>
      </c>
      <c r="G36" s="1265"/>
      <c r="H36" s="1262"/>
      <c r="I36" s="1262"/>
      <c r="J36" s="1262"/>
      <c r="K36" s="1262"/>
      <c r="L36" s="1262"/>
      <c r="M36" s="1262"/>
      <c r="N36" s="1262"/>
      <c r="O36" s="1262"/>
    </row>
    <row r="37" spans="1:15" s="920" customFormat="1" ht="15">
      <c r="A37" s="1276"/>
      <c r="B37" s="1277"/>
      <c r="C37" s="1279"/>
      <c r="D37" s="1285"/>
      <c r="E37" s="1263"/>
      <c r="F37" s="557" t="s">
        <v>199</v>
      </c>
      <c r="G37" s="558" t="s">
        <v>200</v>
      </c>
      <c r="H37" s="1263"/>
      <c r="I37" s="1263"/>
      <c r="J37" s="1263"/>
      <c r="K37" s="1263"/>
      <c r="L37" s="1263"/>
      <c r="M37" s="1263"/>
      <c r="N37" s="1263"/>
      <c r="O37" s="1263"/>
    </row>
    <row r="38" spans="1:15" s="920" customFormat="1" ht="15" customHeight="1">
      <c r="A38" s="1323" t="s">
        <v>39</v>
      </c>
      <c r="B38" s="1324"/>
      <c r="C38" s="930">
        <v>1</v>
      </c>
      <c r="D38" s="930">
        <v>2</v>
      </c>
      <c r="E38" s="930">
        <v>3</v>
      </c>
      <c r="F38" s="930">
        <v>4</v>
      </c>
      <c r="G38" s="930">
        <v>5</v>
      </c>
      <c r="H38" s="930">
        <v>6</v>
      </c>
      <c r="I38" s="930">
        <v>7</v>
      </c>
      <c r="J38" s="930">
        <v>8</v>
      </c>
      <c r="K38" s="930">
        <v>9</v>
      </c>
      <c r="L38" s="930">
        <v>10</v>
      </c>
      <c r="M38" s="930">
        <v>11</v>
      </c>
      <c r="N38" s="930">
        <v>12</v>
      </c>
      <c r="O38" s="930">
        <v>13</v>
      </c>
    </row>
    <row r="39" spans="1:15" s="920" customFormat="1" ht="14.25">
      <c r="A39" s="917" t="s">
        <v>0</v>
      </c>
      <c r="B39" s="918" t="s">
        <v>130</v>
      </c>
      <c r="C39" s="630">
        <f aca="true" t="shared" si="14" ref="C39:C52">SUM(D39,E39,H39:O39)</f>
        <v>8739809</v>
      </c>
      <c r="D39" s="638">
        <f>SUM(D40:D41)</f>
        <v>3009807</v>
      </c>
      <c r="E39" s="638">
        <f aca="true" t="shared" si="15" ref="E39:J39">SUM(E40:E41)</f>
        <v>5607530</v>
      </c>
      <c r="F39" s="638">
        <f t="shared" si="15"/>
        <v>0</v>
      </c>
      <c r="G39" s="638">
        <f t="shared" si="15"/>
        <v>5607530</v>
      </c>
      <c r="H39" s="638">
        <f t="shared" si="15"/>
        <v>0</v>
      </c>
      <c r="I39" s="638">
        <f t="shared" si="15"/>
        <v>0</v>
      </c>
      <c r="J39" s="638">
        <f t="shared" si="15"/>
        <v>122472</v>
      </c>
      <c r="K39" s="638">
        <f>SUM(K40:K41)</f>
        <v>0</v>
      </c>
      <c r="L39" s="638">
        <f>SUM(L40:L41)</f>
        <v>0</v>
      </c>
      <c r="M39" s="638">
        <f>SUM(M40:M41)</f>
        <v>0</v>
      </c>
      <c r="N39" s="638">
        <f>SUM(N40:N41)</f>
        <v>0</v>
      </c>
      <c r="O39" s="638">
        <f>SUM(O40:O41)</f>
        <v>0</v>
      </c>
    </row>
    <row r="40" spans="1:15" s="920" customFormat="1" ht="15">
      <c r="A40" s="921">
        <v>1</v>
      </c>
      <c r="B40" s="922" t="s">
        <v>131</v>
      </c>
      <c r="C40" s="635">
        <f t="shared" si="14"/>
        <v>7467097</v>
      </c>
      <c r="D40" s="645">
        <v>3009807</v>
      </c>
      <c r="E40" s="640">
        <f aca="true" t="shared" si="16" ref="E40:E45">SUM(F40:G40)</f>
        <v>4334818</v>
      </c>
      <c r="F40" s="645">
        <v>0</v>
      </c>
      <c r="G40" s="645">
        <v>4334818</v>
      </c>
      <c r="H40" s="645">
        <v>0</v>
      </c>
      <c r="I40" s="645">
        <v>0</v>
      </c>
      <c r="J40" s="645">
        <v>122472</v>
      </c>
      <c r="K40" s="645">
        <v>0</v>
      </c>
      <c r="L40" s="645">
        <v>0</v>
      </c>
      <c r="M40" s="645">
        <v>0</v>
      </c>
      <c r="N40" s="645">
        <v>0</v>
      </c>
      <c r="O40" s="645">
        <v>0</v>
      </c>
    </row>
    <row r="41" spans="1:15" s="920" customFormat="1" ht="15">
      <c r="A41" s="921">
        <v>2</v>
      </c>
      <c r="B41" s="922" t="s">
        <v>132</v>
      </c>
      <c r="C41" s="635">
        <f t="shared" si="14"/>
        <v>1272712</v>
      </c>
      <c r="D41" s="931"/>
      <c r="E41" s="640">
        <f t="shared" si="16"/>
        <v>1272712</v>
      </c>
      <c r="F41" s="645">
        <v>0</v>
      </c>
      <c r="G41" s="645">
        <v>1272712</v>
      </c>
      <c r="H41" s="645">
        <v>0</v>
      </c>
      <c r="I41" s="645">
        <v>0</v>
      </c>
      <c r="J41" s="645">
        <v>0</v>
      </c>
      <c r="K41" s="645">
        <v>0</v>
      </c>
      <c r="L41" s="645">
        <v>0</v>
      </c>
      <c r="M41" s="645">
        <v>0</v>
      </c>
      <c r="N41" s="645">
        <v>0</v>
      </c>
      <c r="O41" s="645">
        <v>0</v>
      </c>
    </row>
    <row r="42" spans="1:15" s="920" customFormat="1" ht="15">
      <c r="A42" s="20" t="s">
        <v>1</v>
      </c>
      <c r="B42" s="923" t="s">
        <v>133</v>
      </c>
      <c r="C42" s="635">
        <f t="shared" si="14"/>
        <v>0</v>
      </c>
      <c r="D42" s="932"/>
      <c r="E42" s="640">
        <f t="shared" si="16"/>
        <v>0</v>
      </c>
      <c r="F42" s="645">
        <v>0</v>
      </c>
      <c r="G42" s="645"/>
      <c r="H42" s="645">
        <v>0</v>
      </c>
      <c r="I42" s="645">
        <v>0</v>
      </c>
      <c r="J42" s="645">
        <v>0</v>
      </c>
      <c r="K42" s="645">
        <v>0</v>
      </c>
      <c r="L42" s="645">
        <v>0</v>
      </c>
      <c r="M42" s="933"/>
      <c r="N42" s="932"/>
      <c r="O42" s="932"/>
    </row>
    <row r="43" spans="1:15" s="920" customFormat="1" ht="15">
      <c r="A43" s="20" t="s">
        <v>9</v>
      </c>
      <c r="B43" s="923" t="s">
        <v>134</v>
      </c>
      <c r="C43" s="635">
        <f t="shared" si="14"/>
        <v>0</v>
      </c>
      <c r="D43" s="934"/>
      <c r="E43" s="640">
        <f t="shared" si="16"/>
        <v>0</v>
      </c>
      <c r="F43" s="932"/>
      <c r="G43" s="932"/>
      <c r="H43" s="932"/>
      <c r="I43" s="932"/>
      <c r="J43" s="932"/>
      <c r="K43" s="932"/>
      <c r="L43" s="932"/>
      <c r="M43" s="932"/>
      <c r="N43" s="932"/>
      <c r="O43" s="932"/>
    </row>
    <row r="44" spans="1:15" s="920" customFormat="1" ht="14.25">
      <c r="A44" s="20" t="s">
        <v>135</v>
      </c>
      <c r="B44" s="923" t="s">
        <v>136</v>
      </c>
      <c r="C44" s="630">
        <f t="shared" si="14"/>
        <v>8739809</v>
      </c>
      <c r="D44" s="631">
        <f>D39-SUM(D42,D43)</f>
        <v>3009807</v>
      </c>
      <c r="E44" s="638">
        <f t="shared" si="16"/>
        <v>5607530</v>
      </c>
      <c r="F44" s="631">
        <f aca="true" t="shared" si="17" ref="F44:O44">F39-SUM(F42,F43)</f>
        <v>0</v>
      </c>
      <c r="G44" s="631">
        <f t="shared" si="17"/>
        <v>5607530</v>
      </c>
      <c r="H44" s="631">
        <f t="shared" si="17"/>
        <v>0</v>
      </c>
      <c r="I44" s="631">
        <f t="shared" si="17"/>
        <v>0</v>
      </c>
      <c r="J44" s="631">
        <f t="shared" si="17"/>
        <v>122472</v>
      </c>
      <c r="K44" s="631">
        <f t="shared" si="17"/>
        <v>0</v>
      </c>
      <c r="L44" s="631">
        <f t="shared" si="17"/>
        <v>0</v>
      </c>
      <c r="M44" s="631">
        <f t="shared" si="17"/>
        <v>0</v>
      </c>
      <c r="N44" s="631">
        <f t="shared" si="17"/>
        <v>0</v>
      </c>
      <c r="O44" s="631">
        <f t="shared" si="17"/>
        <v>0</v>
      </c>
    </row>
    <row r="45" spans="1:15" s="920" customFormat="1" ht="14.25">
      <c r="A45" s="20" t="s">
        <v>51</v>
      </c>
      <c r="B45" s="924" t="s">
        <v>137</v>
      </c>
      <c r="C45" s="630">
        <f t="shared" si="14"/>
        <v>916870</v>
      </c>
      <c r="D45" s="631">
        <f>SUM(D46:D52)</f>
        <v>0</v>
      </c>
      <c r="E45" s="631">
        <f t="shared" si="16"/>
        <v>915870</v>
      </c>
      <c r="F45" s="631">
        <f aca="true" t="shared" si="18" ref="F45:O45">SUM(F46:F52)</f>
        <v>0</v>
      </c>
      <c r="G45" s="631">
        <f t="shared" si="18"/>
        <v>915870</v>
      </c>
      <c r="H45" s="631">
        <f t="shared" si="18"/>
        <v>0</v>
      </c>
      <c r="I45" s="631">
        <f t="shared" si="18"/>
        <v>0</v>
      </c>
      <c r="J45" s="631">
        <f t="shared" si="18"/>
        <v>1000</v>
      </c>
      <c r="K45" s="631">
        <f t="shared" si="18"/>
        <v>0</v>
      </c>
      <c r="L45" s="631">
        <f t="shared" si="18"/>
        <v>0</v>
      </c>
      <c r="M45" s="631">
        <f t="shared" si="18"/>
        <v>0</v>
      </c>
      <c r="N45" s="631">
        <f t="shared" si="18"/>
        <v>0</v>
      </c>
      <c r="O45" s="631">
        <f t="shared" si="18"/>
        <v>0</v>
      </c>
    </row>
    <row r="46" spans="1:15" s="920" customFormat="1" ht="15">
      <c r="A46" s="921" t="s">
        <v>53</v>
      </c>
      <c r="B46" s="922" t="s">
        <v>138</v>
      </c>
      <c r="C46" s="635">
        <f t="shared" si="14"/>
        <v>56000</v>
      </c>
      <c r="D46" s="642"/>
      <c r="E46" s="935">
        <f>F46+G46</f>
        <v>55000</v>
      </c>
      <c r="F46" s="645">
        <v>0</v>
      </c>
      <c r="G46" s="645">
        <v>55000</v>
      </c>
      <c r="H46" s="645">
        <v>0</v>
      </c>
      <c r="I46" s="645">
        <v>0</v>
      </c>
      <c r="J46" s="645">
        <v>1000</v>
      </c>
      <c r="K46" s="645">
        <v>0</v>
      </c>
      <c r="L46" s="645">
        <v>0</v>
      </c>
      <c r="M46" s="932"/>
      <c r="N46" s="932"/>
      <c r="O46" s="932"/>
    </row>
    <row r="47" spans="1:15" s="920" customFormat="1" ht="15">
      <c r="A47" s="921" t="s">
        <v>54</v>
      </c>
      <c r="B47" s="922" t="s">
        <v>139</v>
      </c>
      <c r="C47" s="635">
        <f t="shared" si="14"/>
        <v>0</v>
      </c>
      <c r="D47" s="934"/>
      <c r="E47" s="935">
        <f>F47+G47</f>
        <v>0</v>
      </c>
      <c r="F47" s="645">
        <v>0</v>
      </c>
      <c r="G47" s="645">
        <v>0</v>
      </c>
      <c r="H47" s="645">
        <v>0</v>
      </c>
      <c r="I47" s="645">
        <v>0</v>
      </c>
      <c r="J47" s="645">
        <v>0</v>
      </c>
      <c r="K47" s="645">
        <v>0</v>
      </c>
      <c r="L47" s="645">
        <v>0</v>
      </c>
      <c r="M47" s="932"/>
      <c r="N47" s="932"/>
      <c r="O47" s="932"/>
    </row>
    <row r="48" spans="1:15" s="920" customFormat="1" ht="15" customHeight="1">
      <c r="A48" s="921" t="s">
        <v>140</v>
      </c>
      <c r="B48" s="922" t="s">
        <v>141</v>
      </c>
      <c r="C48" s="635">
        <f t="shared" si="14"/>
        <v>860870</v>
      </c>
      <c r="D48" s="934"/>
      <c r="E48" s="935">
        <f>F48+G48</f>
        <v>860870</v>
      </c>
      <c r="F48" s="645">
        <v>0</v>
      </c>
      <c r="G48" s="645">
        <v>860870</v>
      </c>
      <c r="H48" s="645">
        <v>0</v>
      </c>
      <c r="I48" s="645">
        <v>0</v>
      </c>
      <c r="J48" s="645">
        <v>0</v>
      </c>
      <c r="K48" s="645">
        <v>0</v>
      </c>
      <c r="L48" s="645">
        <v>0</v>
      </c>
      <c r="M48" s="932"/>
      <c r="N48" s="932"/>
      <c r="O48" s="932">
        <v>0</v>
      </c>
    </row>
    <row r="49" spans="1:15" s="920" customFormat="1" ht="15">
      <c r="A49" s="921" t="s">
        <v>142</v>
      </c>
      <c r="B49" s="922" t="s">
        <v>143</v>
      </c>
      <c r="C49" s="635">
        <f t="shared" si="14"/>
        <v>0</v>
      </c>
      <c r="D49" s="934"/>
      <c r="E49" s="935">
        <f>F49+G49</f>
        <v>0</v>
      </c>
      <c r="F49" s="645">
        <v>0</v>
      </c>
      <c r="G49" s="645">
        <v>0</v>
      </c>
      <c r="H49" s="645">
        <v>0</v>
      </c>
      <c r="I49" s="645">
        <v>0</v>
      </c>
      <c r="J49" s="645">
        <v>0</v>
      </c>
      <c r="K49" s="645">
        <v>0</v>
      </c>
      <c r="L49" s="645">
        <v>0</v>
      </c>
      <c r="M49" s="932"/>
      <c r="N49" s="932"/>
      <c r="O49" s="932"/>
    </row>
    <row r="50" spans="1:15" s="920" customFormat="1" ht="2.25" customHeight="1">
      <c r="A50" s="921" t="s">
        <v>144</v>
      </c>
      <c r="B50" s="922" t="s">
        <v>145</v>
      </c>
      <c r="C50" s="635">
        <f t="shared" si="14"/>
        <v>0</v>
      </c>
      <c r="D50" s="934"/>
      <c r="E50" s="935">
        <f>F50+G50</f>
        <v>0</v>
      </c>
      <c r="F50" s="934"/>
      <c r="G50" s="934"/>
      <c r="H50" s="934"/>
      <c r="I50" s="934"/>
      <c r="J50" s="934"/>
      <c r="K50" s="934"/>
      <c r="L50" s="932"/>
      <c r="M50" s="932"/>
      <c r="N50" s="932"/>
      <c r="O50" s="932"/>
    </row>
    <row r="51" spans="1:15" s="920" customFormat="1" ht="17.25" customHeight="1">
      <c r="A51" s="921" t="s">
        <v>146</v>
      </c>
      <c r="B51" s="925" t="s">
        <v>147</v>
      </c>
      <c r="C51" s="635">
        <f t="shared" si="14"/>
        <v>0</v>
      </c>
      <c r="D51" s="932"/>
      <c r="E51" s="632">
        <f>SUM(F51:G51)</f>
        <v>0</v>
      </c>
      <c r="F51" s="932"/>
      <c r="G51" s="932"/>
      <c r="H51" s="932"/>
      <c r="I51" s="932"/>
      <c r="J51" s="932"/>
      <c r="K51" s="932"/>
      <c r="L51" s="932"/>
      <c r="M51" s="932"/>
      <c r="N51" s="932"/>
      <c r="O51" s="932"/>
    </row>
    <row r="52" spans="1:15" s="920" customFormat="1" ht="18.75" customHeight="1">
      <c r="A52" s="921" t="s">
        <v>148</v>
      </c>
      <c r="B52" s="922" t="s">
        <v>149</v>
      </c>
      <c r="C52" s="635">
        <f t="shared" si="14"/>
        <v>0</v>
      </c>
      <c r="D52" s="936"/>
      <c r="E52" s="640">
        <f>SUM(F52:G52)</f>
        <v>0</v>
      </c>
      <c r="F52" s="936"/>
      <c r="G52" s="936"/>
      <c r="H52" s="936"/>
      <c r="I52" s="936"/>
      <c r="J52" s="936"/>
      <c r="K52" s="936"/>
      <c r="L52" s="936"/>
      <c r="M52" s="936"/>
      <c r="N52" s="932"/>
      <c r="O52" s="932"/>
    </row>
    <row r="53" spans="1:15" s="920" customFormat="1" ht="14.25">
      <c r="A53" s="20" t="s">
        <v>52</v>
      </c>
      <c r="B53" s="923" t="s">
        <v>150</v>
      </c>
      <c r="C53" s="646">
        <f>C39-C42-C43-C45</f>
        <v>7822939</v>
      </c>
      <c r="D53" s="646">
        <f>D44-D45</f>
        <v>3009807</v>
      </c>
      <c r="E53" s="646">
        <f aca="true" t="shared" si="19" ref="E53:O53">E44-E45</f>
        <v>4691660</v>
      </c>
      <c r="F53" s="646">
        <f t="shared" si="19"/>
        <v>0</v>
      </c>
      <c r="G53" s="646">
        <f t="shared" si="19"/>
        <v>4691660</v>
      </c>
      <c r="H53" s="646">
        <f t="shared" si="19"/>
        <v>0</v>
      </c>
      <c r="I53" s="646">
        <f t="shared" si="19"/>
        <v>0</v>
      </c>
      <c r="J53" s="646">
        <f t="shared" si="19"/>
        <v>121472</v>
      </c>
      <c r="K53" s="646">
        <f t="shared" si="19"/>
        <v>0</v>
      </c>
      <c r="L53" s="646">
        <f t="shared" si="19"/>
        <v>0</v>
      </c>
      <c r="M53" s="646">
        <f t="shared" si="19"/>
        <v>0</v>
      </c>
      <c r="N53" s="646">
        <f t="shared" si="19"/>
        <v>0</v>
      </c>
      <c r="O53" s="646">
        <f t="shared" si="19"/>
        <v>0</v>
      </c>
    </row>
    <row r="54" spans="1:15" s="920" customFormat="1" ht="30">
      <c r="A54" s="926" t="s">
        <v>538</v>
      </c>
      <c r="B54" s="927" t="s">
        <v>731</v>
      </c>
      <c r="C54" s="530">
        <f>(C46+C47)/C45</f>
        <v>0.061077361021737</v>
      </c>
      <c r="D54" s="531" t="e">
        <f aca="true" t="shared" si="20" ref="D54:O54">(D46+D47)/D45</f>
        <v>#DIV/0!</v>
      </c>
      <c r="E54" s="530">
        <f t="shared" si="20"/>
        <v>0.060052190813106664</v>
      </c>
      <c r="F54" s="531" t="e">
        <f t="shared" si="20"/>
        <v>#DIV/0!</v>
      </c>
      <c r="G54" s="531">
        <f t="shared" si="20"/>
        <v>0.060052190813106664</v>
      </c>
      <c r="H54" s="531" t="e">
        <f t="shared" si="20"/>
        <v>#DIV/0!</v>
      </c>
      <c r="I54" s="531" t="e">
        <f t="shared" si="20"/>
        <v>#DIV/0!</v>
      </c>
      <c r="J54" s="531">
        <f t="shared" si="20"/>
        <v>1</v>
      </c>
      <c r="K54" s="531" t="e">
        <f t="shared" si="20"/>
        <v>#DIV/0!</v>
      </c>
      <c r="L54" s="531" t="e">
        <f t="shared" si="20"/>
        <v>#DIV/0!</v>
      </c>
      <c r="M54" s="531" t="e">
        <f t="shared" si="20"/>
        <v>#DIV/0!</v>
      </c>
      <c r="N54" s="531" t="e">
        <f t="shared" si="20"/>
        <v>#DIV/0!</v>
      </c>
      <c r="O54" s="531" t="e">
        <f t="shared" si="20"/>
        <v>#DIV/0!</v>
      </c>
    </row>
    <row r="55" s="920" customFormat="1" ht="14.25">
      <c r="A55" s="928"/>
    </row>
    <row r="56" spans="1:2" s="920" customFormat="1" ht="12.75" customHeight="1">
      <c r="A56" s="928"/>
      <c r="B56" s="929" t="s">
        <v>701</v>
      </c>
    </row>
    <row r="57" s="920" customFormat="1" ht="14.25">
      <c r="A57" s="928"/>
    </row>
    <row r="58" spans="1:15" s="920" customFormat="1" ht="14.25">
      <c r="A58" s="1272" t="s">
        <v>68</v>
      </c>
      <c r="B58" s="1273"/>
      <c r="C58" s="1278" t="s">
        <v>37</v>
      </c>
      <c r="D58" s="1278" t="s">
        <v>335</v>
      </c>
      <c r="E58" s="1282"/>
      <c r="F58" s="1282"/>
      <c r="G58" s="1282"/>
      <c r="H58" s="1282"/>
      <c r="I58" s="1282"/>
      <c r="J58" s="1282"/>
      <c r="K58" s="1282"/>
      <c r="L58" s="1282"/>
      <c r="M58" s="1282"/>
      <c r="N58" s="1282"/>
      <c r="O58" s="1283"/>
    </row>
    <row r="59" spans="1:15" s="920" customFormat="1" ht="0.75" customHeight="1">
      <c r="A59" s="1274"/>
      <c r="B59" s="1275"/>
      <c r="C59" s="1279"/>
      <c r="D59" s="1284" t="s">
        <v>119</v>
      </c>
      <c r="E59" s="1266" t="s">
        <v>120</v>
      </c>
      <c r="F59" s="1267"/>
      <c r="G59" s="1268"/>
      <c r="H59" s="1262" t="s">
        <v>121</v>
      </c>
      <c r="I59" s="1262" t="s">
        <v>122</v>
      </c>
      <c r="J59" s="1262" t="s">
        <v>198</v>
      </c>
      <c r="K59" s="1262" t="s">
        <v>124</v>
      </c>
      <c r="L59" s="1262" t="s">
        <v>125</v>
      </c>
      <c r="M59" s="1262" t="s">
        <v>126</v>
      </c>
      <c r="N59" s="1262" t="s">
        <v>183</v>
      </c>
      <c r="O59" s="1262" t="s">
        <v>127</v>
      </c>
    </row>
    <row r="60" spans="1:15" s="920" customFormat="1" ht="14.25" customHeight="1">
      <c r="A60" s="1274"/>
      <c r="B60" s="1275"/>
      <c r="C60" s="1279"/>
      <c r="D60" s="1284"/>
      <c r="E60" s="1271" t="s">
        <v>36</v>
      </c>
      <c r="F60" s="1264" t="s">
        <v>7</v>
      </c>
      <c r="G60" s="1265"/>
      <c r="H60" s="1262"/>
      <c r="I60" s="1262"/>
      <c r="J60" s="1262"/>
      <c r="K60" s="1262"/>
      <c r="L60" s="1262"/>
      <c r="M60" s="1262"/>
      <c r="N60" s="1262"/>
      <c r="O60" s="1262"/>
    </row>
    <row r="61" spans="1:15" s="920" customFormat="1" ht="15">
      <c r="A61" s="1276"/>
      <c r="B61" s="1277"/>
      <c r="C61" s="1279"/>
      <c r="D61" s="1285"/>
      <c r="E61" s="1263"/>
      <c r="F61" s="557" t="s">
        <v>199</v>
      </c>
      <c r="G61" s="558" t="s">
        <v>200</v>
      </c>
      <c r="H61" s="1263"/>
      <c r="I61" s="1263"/>
      <c r="J61" s="1263"/>
      <c r="K61" s="1263"/>
      <c r="L61" s="1263"/>
      <c r="M61" s="1263"/>
      <c r="N61" s="1263"/>
      <c r="O61" s="1263"/>
    </row>
    <row r="62" spans="1:15" s="920" customFormat="1" ht="15">
      <c r="A62" s="1323" t="s">
        <v>39</v>
      </c>
      <c r="B62" s="1324"/>
      <c r="C62" s="930">
        <v>1</v>
      </c>
      <c r="D62" s="930">
        <v>2</v>
      </c>
      <c r="E62" s="930">
        <v>3</v>
      </c>
      <c r="F62" s="930">
        <v>4</v>
      </c>
      <c r="G62" s="930">
        <v>5</v>
      </c>
      <c r="H62" s="930">
        <v>6</v>
      </c>
      <c r="I62" s="930">
        <v>7</v>
      </c>
      <c r="J62" s="930">
        <v>8</v>
      </c>
      <c r="K62" s="930">
        <v>9</v>
      </c>
      <c r="L62" s="930">
        <v>10</v>
      </c>
      <c r="M62" s="930">
        <v>11</v>
      </c>
      <c r="N62" s="930">
        <v>12</v>
      </c>
      <c r="O62" s="930">
        <v>13</v>
      </c>
    </row>
    <row r="63" spans="1:15" s="920" customFormat="1" ht="14.25">
      <c r="A63" s="917" t="s">
        <v>0</v>
      </c>
      <c r="B63" s="918" t="s">
        <v>130</v>
      </c>
      <c r="C63" s="630">
        <f aca="true" t="shared" si="21" ref="C63:C76">SUM(D63,E63,H63:O63)</f>
        <v>44162251</v>
      </c>
      <c r="D63" s="638">
        <f>SUM(D64:D65)</f>
        <v>41314168</v>
      </c>
      <c r="E63" s="638">
        <f aca="true" t="shared" si="22" ref="E63:J63">SUM(E64:E65)</f>
        <v>468348</v>
      </c>
      <c r="F63" s="638">
        <f t="shared" si="22"/>
        <v>0</v>
      </c>
      <c r="G63" s="638">
        <f t="shared" si="22"/>
        <v>468348</v>
      </c>
      <c r="H63" s="638">
        <f t="shared" si="22"/>
        <v>0</v>
      </c>
      <c r="I63" s="638">
        <f t="shared" si="22"/>
        <v>614176</v>
      </c>
      <c r="J63" s="638">
        <f t="shared" si="22"/>
        <v>1669588</v>
      </c>
      <c r="K63" s="638">
        <f>SUM(K64:K65)</f>
        <v>57471</v>
      </c>
      <c r="L63" s="638">
        <f>SUM(L64:L65)</f>
        <v>0</v>
      </c>
      <c r="M63" s="638">
        <f>SUM(M64:M65)</f>
        <v>0</v>
      </c>
      <c r="N63" s="638">
        <f>SUM(N64:N65)</f>
        <v>0</v>
      </c>
      <c r="O63" s="638">
        <f>SUM(O64:O65)</f>
        <v>38500</v>
      </c>
    </row>
    <row r="64" spans="1:15" s="920" customFormat="1" ht="15">
      <c r="A64" s="921">
        <v>1</v>
      </c>
      <c r="B64" s="922" t="s">
        <v>131</v>
      </c>
      <c r="C64" s="635">
        <f t="shared" si="21"/>
        <v>40367582</v>
      </c>
      <c r="D64" s="405">
        <v>39373697</v>
      </c>
      <c r="E64" s="640">
        <f aca="true" t="shared" si="23" ref="E64:E74">SUM(F64:G64)</f>
        <v>279399</v>
      </c>
      <c r="F64" s="405">
        <v>0</v>
      </c>
      <c r="G64" s="405">
        <v>279399</v>
      </c>
      <c r="H64" s="405">
        <v>0</v>
      </c>
      <c r="I64" s="405">
        <v>236276</v>
      </c>
      <c r="J64" s="405">
        <v>382239</v>
      </c>
      <c r="K64" s="405">
        <v>57471</v>
      </c>
      <c r="L64" s="405">
        <v>0</v>
      </c>
      <c r="M64" s="405">
        <v>0</v>
      </c>
      <c r="N64" s="405">
        <v>0</v>
      </c>
      <c r="O64" s="405">
        <v>38500</v>
      </c>
    </row>
    <row r="65" spans="1:15" s="920" customFormat="1" ht="15">
      <c r="A65" s="921">
        <v>2</v>
      </c>
      <c r="B65" s="922" t="s">
        <v>132</v>
      </c>
      <c r="C65" s="635">
        <f t="shared" si="21"/>
        <v>3794669</v>
      </c>
      <c r="D65" s="405">
        <v>1940471</v>
      </c>
      <c r="E65" s="640">
        <f t="shared" si="23"/>
        <v>188949</v>
      </c>
      <c r="F65" s="405">
        <v>0</v>
      </c>
      <c r="G65" s="405">
        <v>188949</v>
      </c>
      <c r="H65" s="405">
        <v>0</v>
      </c>
      <c r="I65" s="405">
        <v>377900</v>
      </c>
      <c r="J65" s="405">
        <v>1287349</v>
      </c>
      <c r="K65" s="405">
        <v>0</v>
      </c>
      <c r="L65" s="405">
        <v>0</v>
      </c>
      <c r="M65" s="405">
        <v>0</v>
      </c>
      <c r="N65" s="405">
        <v>0</v>
      </c>
      <c r="O65" s="405">
        <v>0</v>
      </c>
    </row>
    <row r="66" spans="1:15" s="920" customFormat="1" ht="15">
      <c r="A66" s="20" t="s">
        <v>1</v>
      </c>
      <c r="B66" s="923" t="s">
        <v>133</v>
      </c>
      <c r="C66" s="635">
        <f t="shared" si="21"/>
        <v>71000</v>
      </c>
      <c r="D66" s="405"/>
      <c r="E66" s="640">
        <f t="shared" si="23"/>
        <v>47000</v>
      </c>
      <c r="F66" s="405">
        <v>0</v>
      </c>
      <c r="G66" s="405">
        <v>47000</v>
      </c>
      <c r="H66" s="405">
        <v>0</v>
      </c>
      <c r="I66" s="405">
        <v>24000</v>
      </c>
      <c r="J66" s="405">
        <v>0</v>
      </c>
      <c r="K66" s="405">
        <v>0</v>
      </c>
      <c r="L66" s="405">
        <v>0</v>
      </c>
      <c r="M66" s="405">
        <v>0</v>
      </c>
      <c r="N66" s="405">
        <v>0</v>
      </c>
      <c r="O66" s="405">
        <v>0</v>
      </c>
    </row>
    <row r="67" spans="1:15" s="920" customFormat="1" ht="15">
      <c r="A67" s="20" t="s">
        <v>9</v>
      </c>
      <c r="B67" s="923" t="s">
        <v>134</v>
      </c>
      <c r="C67" s="635">
        <f t="shared" si="21"/>
        <v>0</v>
      </c>
      <c r="D67" s="642"/>
      <c r="E67" s="640">
        <f t="shared" si="23"/>
        <v>0</v>
      </c>
      <c r="F67" s="642"/>
      <c r="G67" s="642"/>
      <c r="H67" s="642"/>
      <c r="I67" s="642"/>
      <c r="J67" s="642"/>
      <c r="K67" s="642"/>
      <c r="L67" s="642"/>
      <c r="M67" s="642"/>
      <c r="N67" s="642"/>
      <c r="O67" s="642"/>
    </row>
    <row r="68" spans="1:15" s="920" customFormat="1" ht="14.25">
      <c r="A68" s="20" t="s">
        <v>135</v>
      </c>
      <c r="B68" s="923" t="s">
        <v>136</v>
      </c>
      <c r="C68" s="630">
        <f>SUM(C63-C66+C67)</f>
        <v>44091251</v>
      </c>
      <c r="D68" s="630">
        <f>SUM(D63-D66+D67)</f>
        <v>41314168</v>
      </c>
      <c r="E68" s="638">
        <f t="shared" si="23"/>
        <v>421348</v>
      </c>
      <c r="F68" s="631">
        <f aca="true" t="shared" si="24" ref="F68:O68">F63-SUM(F66,F67)</f>
        <v>0</v>
      </c>
      <c r="G68" s="631">
        <f t="shared" si="24"/>
        <v>421348</v>
      </c>
      <c r="H68" s="631">
        <f t="shared" si="24"/>
        <v>0</v>
      </c>
      <c r="I68" s="631">
        <f t="shared" si="24"/>
        <v>590176</v>
      </c>
      <c r="J68" s="631">
        <f t="shared" si="24"/>
        <v>1669588</v>
      </c>
      <c r="K68" s="631">
        <f t="shared" si="24"/>
        <v>57471</v>
      </c>
      <c r="L68" s="631">
        <f t="shared" si="24"/>
        <v>0</v>
      </c>
      <c r="M68" s="631">
        <f t="shared" si="24"/>
        <v>0</v>
      </c>
      <c r="N68" s="631">
        <f t="shared" si="24"/>
        <v>0</v>
      </c>
      <c r="O68" s="631">
        <f t="shared" si="24"/>
        <v>38500</v>
      </c>
    </row>
    <row r="69" spans="1:15" s="920" customFormat="1" ht="14.25">
      <c r="A69" s="20" t="s">
        <v>51</v>
      </c>
      <c r="B69" s="924" t="s">
        <v>137</v>
      </c>
      <c r="C69" s="630">
        <f>SUM(C70:C76)</f>
        <v>23743253</v>
      </c>
      <c r="D69" s="639">
        <f>SUM(D70:D76)</f>
        <v>21570704</v>
      </c>
      <c r="E69" s="638">
        <f t="shared" si="23"/>
        <v>136986</v>
      </c>
      <c r="F69" s="639">
        <f aca="true" t="shared" si="25" ref="F69:O69">SUM(F70:F76)</f>
        <v>0</v>
      </c>
      <c r="G69" s="639">
        <f t="shared" si="25"/>
        <v>136986</v>
      </c>
      <c r="H69" s="639">
        <f t="shared" si="25"/>
        <v>0</v>
      </c>
      <c r="I69" s="639">
        <f t="shared" si="25"/>
        <v>547475</v>
      </c>
      <c r="J69" s="639">
        <f t="shared" si="25"/>
        <v>1449588</v>
      </c>
      <c r="K69" s="639">
        <f t="shared" si="25"/>
        <v>0</v>
      </c>
      <c r="L69" s="639">
        <f t="shared" si="25"/>
        <v>0</v>
      </c>
      <c r="M69" s="639">
        <f t="shared" si="25"/>
        <v>0</v>
      </c>
      <c r="N69" s="639">
        <f t="shared" si="25"/>
        <v>0</v>
      </c>
      <c r="O69" s="639">
        <f t="shared" si="25"/>
        <v>38500</v>
      </c>
    </row>
    <row r="70" spans="1:15" s="920" customFormat="1" ht="15">
      <c r="A70" s="921" t="s">
        <v>53</v>
      </c>
      <c r="B70" s="922" t="s">
        <v>138</v>
      </c>
      <c r="C70" s="635">
        <f t="shared" si="21"/>
        <v>716152</v>
      </c>
      <c r="D70" s="405">
        <v>223782</v>
      </c>
      <c r="E70" s="640">
        <f t="shared" si="23"/>
        <v>110270</v>
      </c>
      <c r="F70" s="405">
        <v>0</v>
      </c>
      <c r="G70" s="405">
        <v>110270</v>
      </c>
      <c r="H70" s="405">
        <v>0</v>
      </c>
      <c r="I70" s="405">
        <v>286100</v>
      </c>
      <c r="J70" s="405">
        <v>96000</v>
      </c>
      <c r="K70" s="405">
        <v>0</v>
      </c>
      <c r="L70" s="405">
        <v>0</v>
      </c>
      <c r="M70" s="405">
        <v>0</v>
      </c>
      <c r="N70" s="405">
        <v>0</v>
      </c>
      <c r="O70" s="405">
        <v>0</v>
      </c>
    </row>
    <row r="71" spans="1:15" s="920" customFormat="1" ht="15">
      <c r="A71" s="921" t="s">
        <v>54</v>
      </c>
      <c r="B71" s="922" t="s">
        <v>139</v>
      </c>
      <c r="C71" s="635">
        <f t="shared" si="21"/>
        <v>627601</v>
      </c>
      <c r="D71" s="405">
        <v>163294</v>
      </c>
      <c r="E71" s="640">
        <f t="shared" si="23"/>
        <v>1576</v>
      </c>
      <c r="F71" s="405">
        <v>0</v>
      </c>
      <c r="G71" s="405">
        <v>1576</v>
      </c>
      <c r="H71" s="405">
        <v>0</v>
      </c>
      <c r="I71" s="405">
        <v>0</v>
      </c>
      <c r="J71" s="405">
        <v>462731</v>
      </c>
      <c r="K71" s="405">
        <v>0</v>
      </c>
      <c r="L71" s="405">
        <v>0</v>
      </c>
      <c r="M71" s="405">
        <v>0</v>
      </c>
      <c r="N71" s="405">
        <v>0</v>
      </c>
      <c r="O71" s="405">
        <v>0</v>
      </c>
    </row>
    <row r="72" spans="1:15" s="920" customFormat="1" ht="15">
      <c r="A72" s="921" t="s">
        <v>140</v>
      </c>
      <c r="B72" s="922" t="s">
        <v>141</v>
      </c>
      <c r="C72" s="635">
        <f t="shared" si="21"/>
        <v>7596886</v>
      </c>
      <c r="D72" s="405">
        <v>6381014</v>
      </c>
      <c r="E72" s="640">
        <f t="shared" si="23"/>
        <v>25140</v>
      </c>
      <c r="F72" s="405">
        <v>0</v>
      </c>
      <c r="G72" s="405">
        <v>25140</v>
      </c>
      <c r="H72" s="405">
        <v>0</v>
      </c>
      <c r="I72" s="405">
        <v>261375</v>
      </c>
      <c r="J72" s="405">
        <v>890857</v>
      </c>
      <c r="K72" s="405">
        <v>0</v>
      </c>
      <c r="L72" s="405">
        <v>0</v>
      </c>
      <c r="M72" s="405">
        <v>0</v>
      </c>
      <c r="N72" s="405">
        <v>0</v>
      </c>
      <c r="O72" s="405">
        <v>38500</v>
      </c>
    </row>
    <row r="73" spans="1:15" s="920" customFormat="1" ht="15">
      <c r="A73" s="921" t="s">
        <v>142</v>
      </c>
      <c r="B73" s="922" t="s">
        <v>143</v>
      </c>
      <c r="C73" s="635">
        <f t="shared" si="21"/>
        <v>14802614</v>
      </c>
      <c r="D73" s="405">
        <v>14802614</v>
      </c>
      <c r="E73" s="640">
        <f t="shared" si="23"/>
        <v>0</v>
      </c>
      <c r="F73" s="405">
        <v>0</v>
      </c>
      <c r="G73" s="405"/>
      <c r="H73" s="405"/>
      <c r="I73" s="405"/>
      <c r="J73" s="405"/>
      <c r="K73" s="405"/>
      <c r="L73" s="405"/>
      <c r="M73" s="405"/>
      <c r="N73" s="405"/>
      <c r="O73" s="405"/>
    </row>
    <row r="74" spans="1:15" s="920" customFormat="1" ht="15">
      <c r="A74" s="921" t="s">
        <v>144</v>
      </c>
      <c r="B74" s="922" t="s">
        <v>145</v>
      </c>
      <c r="C74" s="635">
        <f t="shared" si="21"/>
        <v>0</v>
      </c>
      <c r="D74" s="405"/>
      <c r="E74" s="640">
        <f t="shared" si="23"/>
        <v>0</v>
      </c>
      <c r="F74" s="405">
        <v>0</v>
      </c>
      <c r="G74" s="405">
        <v>0</v>
      </c>
      <c r="H74" s="405">
        <v>0</v>
      </c>
      <c r="I74" s="405">
        <v>0</v>
      </c>
      <c r="J74" s="405">
        <v>0</v>
      </c>
      <c r="K74" s="405">
        <v>0</v>
      </c>
      <c r="L74" s="405">
        <v>0</v>
      </c>
      <c r="M74" s="405">
        <v>0</v>
      </c>
      <c r="N74" s="405">
        <v>0</v>
      </c>
      <c r="O74" s="405">
        <v>0</v>
      </c>
    </row>
    <row r="75" spans="1:15" s="920" customFormat="1" ht="30">
      <c r="A75" s="921" t="s">
        <v>146</v>
      </c>
      <c r="B75" s="925" t="s">
        <v>147</v>
      </c>
      <c r="C75" s="635">
        <f t="shared" si="21"/>
        <v>0</v>
      </c>
      <c r="D75" s="405"/>
      <c r="E75" s="640">
        <f>SUM(F75:G75)</f>
        <v>0</v>
      </c>
      <c r="F75" s="654">
        <v>0</v>
      </c>
      <c r="G75" s="654">
        <v>0</v>
      </c>
      <c r="H75" s="654">
        <v>0</v>
      </c>
      <c r="I75" s="654">
        <v>0</v>
      </c>
      <c r="J75" s="654">
        <v>0</v>
      </c>
      <c r="K75" s="654">
        <v>0</v>
      </c>
      <c r="L75" s="654">
        <v>0</v>
      </c>
      <c r="M75" s="654">
        <v>0</v>
      </c>
      <c r="N75" s="654">
        <v>0</v>
      </c>
      <c r="O75" s="654">
        <v>0</v>
      </c>
    </row>
    <row r="76" spans="1:15" s="920" customFormat="1" ht="19.5" customHeight="1">
      <c r="A76" s="921" t="s">
        <v>148</v>
      </c>
      <c r="B76" s="922" t="s">
        <v>149</v>
      </c>
      <c r="C76" s="635">
        <f t="shared" si="21"/>
        <v>0</v>
      </c>
      <c r="D76" s="405"/>
      <c r="E76" s="640">
        <f>SUM(F76:G76)</f>
        <v>0</v>
      </c>
      <c r="F76" s="654">
        <v>0</v>
      </c>
      <c r="G76" s="654">
        <v>0</v>
      </c>
      <c r="H76" s="654">
        <v>0</v>
      </c>
      <c r="I76" s="654">
        <v>0</v>
      </c>
      <c r="J76" s="654">
        <v>0</v>
      </c>
      <c r="K76" s="654">
        <v>0</v>
      </c>
      <c r="L76" s="654">
        <v>0</v>
      </c>
      <c r="M76" s="654">
        <v>0</v>
      </c>
      <c r="N76" s="654">
        <v>0</v>
      </c>
      <c r="O76" s="654">
        <v>0</v>
      </c>
    </row>
    <row r="77" spans="1:15" s="920" customFormat="1" ht="19.5" customHeight="1">
      <c r="A77" s="20" t="s">
        <v>52</v>
      </c>
      <c r="B77" s="923" t="s">
        <v>150</v>
      </c>
      <c r="C77" s="646">
        <f>C63-C66-C67-C69</f>
        <v>20347998</v>
      </c>
      <c r="D77" s="646">
        <f>D68-D69</f>
        <v>19743464</v>
      </c>
      <c r="E77" s="646">
        <f aca="true" t="shared" si="26" ref="E77:O77">E68-E69</f>
        <v>284362</v>
      </c>
      <c r="F77" s="646">
        <f t="shared" si="26"/>
        <v>0</v>
      </c>
      <c r="G77" s="646">
        <f t="shared" si="26"/>
        <v>284362</v>
      </c>
      <c r="H77" s="646">
        <f t="shared" si="26"/>
        <v>0</v>
      </c>
      <c r="I77" s="646">
        <f t="shared" si="26"/>
        <v>42701</v>
      </c>
      <c r="J77" s="646">
        <f t="shared" si="26"/>
        <v>220000</v>
      </c>
      <c r="K77" s="646">
        <f t="shared" si="26"/>
        <v>57471</v>
      </c>
      <c r="L77" s="646">
        <f t="shared" si="26"/>
        <v>0</v>
      </c>
      <c r="M77" s="646">
        <f t="shared" si="26"/>
        <v>0</v>
      </c>
      <c r="N77" s="646">
        <f t="shared" si="26"/>
        <v>0</v>
      </c>
      <c r="O77" s="646">
        <f t="shared" si="26"/>
        <v>0</v>
      </c>
    </row>
    <row r="78" spans="1:15" s="920" customFormat="1" ht="30">
      <c r="A78" s="926" t="s">
        <v>538</v>
      </c>
      <c r="B78" s="927" t="s">
        <v>731</v>
      </c>
      <c r="C78" s="530">
        <f>(C70+C71)/C69</f>
        <v>0.05659515147313639</v>
      </c>
      <c r="D78" s="531">
        <f aca="true" t="shared" si="27" ref="D78:O78">(D70+D71)/D69</f>
        <v>0.01794452327564274</v>
      </c>
      <c r="E78" s="530">
        <f t="shared" si="27"/>
        <v>0.8164775962507117</v>
      </c>
      <c r="F78" s="531" t="e">
        <f t="shared" si="27"/>
        <v>#DIV/0!</v>
      </c>
      <c r="G78" s="531">
        <f t="shared" si="27"/>
        <v>0.8164775962507117</v>
      </c>
      <c r="H78" s="531" t="e">
        <f t="shared" si="27"/>
        <v>#DIV/0!</v>
      </c>
      <c r="I78" s="531">
        <f t="shared" si="27"/>
        <v>0.5225809397689393</v>
      </c>
      <c r="J78" s="531">
        <f t="shared" si="27"/>
        <v>0.38544124261514306</v>
      </c>
      <c r="K78" s="531" t="e">
        <f t="shared" si="27"/>
        <v>#DIV/0!</v>
      </c>
      <c r="L78" s="531" t="e">
        <f t="shared" si="27"/>
        <v>#DIV/0!</v>
      </c>
      <c r="M78" s="531" t="e">
        <f t="shared" si="27"/>
        <v>#DIV/0!</v>
      </c>
      <c r="N78" s="531" t="e">
        <f t="shared" si="27"/>
        <v>#DIV/0!</v>
      </c>
      <c r="O78" s="531">
        <f t="shared" si="27"/>
        <v>0</v>
      </c>
    </row>
    <row r="79" s="920" customFormat="1" ht="0.75" customHeight="1">
      <c r="A79" s="928"/>
    </row>
    <row r="80" spans="1:2" s="920" customFormat="1" ht="14.25">
      <c r="A80" s="928"/>
      <c r="B80" s="929" t="s">
        <v>707</v>
      </c>
    </row>
    <row r="81" spans="1:15" s="920" customFormat="1" ht="14.25">
      <c r="A81" s="1272" t="s">
        <v>68</v>
      </c>
      <c r="B81" s="1273"/>
      <c r="C81" s="1278" t="s">
        <v>37</v>
      </c>
      <c r="D81" s="1278" t="s">
        <v>335</v>
      </c>
      <c r="E81" s="1282"/>
      <c r="F81" s="1282"/>
      <c r="G81" s="1282"/>
      <c r="H81" s="1282"/>
      <c r="I81" s="1282"/>
      <c r="J81" s="1282"/>
      <c r="K81" s="1282"/>
      <c r="L81" s="1282"/>
      <c r="M81" s="1282"/>
      <c r="N81" s="1282"/>
      <c r="O81" s="1283"/>
    </row>
    <row r="82" spans="1:15" s="920" customFormat="1" ht="0.75" customHeight="1">
      <c r="A82" s="1274"/>
      <c r="B82" s="1275"/>
      <c r="C82" s="1279"/>
      <c r="D82" s="1284" t="s">
        <v>119</v>
      </c>
      <c r="E82" s="1266" t="s">
        <v>120</v>
      </c>
      <c r="F82" s="1267"/>
      <c r="G82" s="1268"/>
      <c r="H82" s="1262" t="s">
        <v>121</v>
      </c>
      <c r="I82" s="1262" t="s">
        <v>122</v>
      </c>
      <c r="J82" s="1262" t="s">
        <v>198</v>
      </c>
      <c r="K82" s="1262" t="s">
        <v>124</v>
      </c>
      <c r="L82" s="1262" t="s">
        <v>125</v>
      </c>
      <c r="M82" s="1262" t="s">
        <v>126</v>
      </c>
      <c r="N82" s="1262" t="s">
        <v>183</v>
      </c>
      <c r="O82" s="1262" t="s">
        <v>127</v>
      </c>
    </row>
    <row r="83" spans="1:15" s="920" customFormat="1" ht="15">
      <c r="A83" s="1274"/>
      <c r="B83" s="1275"/>
      <c r="C83" s="1279"/>
      <c r="D83" s="1284"/>
      <c r="E83" s="1271" t="s">
        <v>36</v>
      </c>
      <c r="F83" s="1264" t="s">
        <v>7</v>
      </c>
      <c r="G83" s="1265"/>
      <c r="H83" s="1262"/>
      <c r="I83" s="1262"/>
      <c r="J83" s="1262"/>
      <c r="K83" s="1262"/>
      <c r="L83" s="1262"/>
      <c r="M83" s="1262"/>
      <c r="N83" s="1262"/>
      <c r="O83" s="1262"/>
    </row>
    <row r="84" spans="1:15" s="920" customFormat="1" ht="15">
      <c r="A84" s="1276"/>
      <c r="B84" s="1277"/>
      <c r="C84" s="1279"/>
      <c r="D84" s="1285"/>
      <c r="E84" s="1263"/>
      <c r="F84" s="557" t="s">
        <v>199</v>
      </c>
      <c r="G84" s="558" t="s">
        <v>200</v>
      </c>
      <c r="H84" s="1263"/>
      <c r="I84" s="1263"/>
      <c r="J84" s="1263"/>
      <c r="K84" s="1263"/>
      <c r="L84" s="1263"/>
      <c r="M84" s="1263"/>
      <c r="N84" s="1263"/>
      <c r="O84" s="1263"/>
    </row>
    <row r="85" spans="1:15" s="920" customFormat="1" ht="15">
      <c r="A85" s="1323" t="s">
        <v>39</v>
      </c>
      <c r="B85" s="1324"/>
      <c r="C85" s="930">
        <v>1</v>
      </c>
      <c r="D85" s="930">
        <v>2</v>
      </c>
      <c r="E85" s="930">
        <v>3</v>
      </c>
      <c r="F85" s="930">
        <v>4</v>
      </c>
      <c r="G85" s="930">
        <v>5</v>
      </c>
      <c r="H85" s="930">
        <v>6</v>
      </c>
      <c r="I85" s="930">
        <v>7</v>
      </c>
      <c r="J85" s="930">
        <v>8</v>
      </c>
      <c r="K85" s="930">
        <v>9</v>
      </c>
      <c r="L85" s="930">
        <v>10</v>
      </c>
      <c r="M85" s="930">
        <v>11</v>
      </c>
      <c r="N85" s="930">
        <v>12</v>
      </c>
      <c r="O85" s="930">
        <v>13</v>
      </c>
    </row>
    <row r="86" spans="1:15" s="920" customFormat="1" ht="14.25">
      <c r="A86" s="917" t="s">
        <v>0</v>
      </c>
      <c r="B86" s="918" t="s">
        <v>130</v>
      </c>
      <c r="C86" s="630">
        <f aca="true" t="shared" si="28" ref="C86:C99">SUM(D86,E86,H86:O86)</f>
        <v>5121251</v>
      </c>
      <c r="D86" s="638">
        <f>SUM(D87:D88)</f>
        <v>4280205</v>
      </c>
      <c r="E86" s="638">
        <f aca="true" t="shared" si="29" ref="E86:J86">SUM(E87:E88)</f>
        <v>126300</v>
      </c>
      <c r="F86" s="638">
        <f t="shared" si="29"/>
        <v>0</v>
      </c>
      <c r="G86" s="638">
        <f t="shared" si="29"/>
        <v>126300</v>
      </c>
      <c r="H86" s="638">
        <f t="shared" si="29"/>
        <v>0</v>
      </c>
      <c r="I86" s="638">
        <f t="shared" si="29"/>
        <v>714746</v>
      </c>
      <c r="J86" s="638">
        <f t="shared" si="29"/>
        <v>0</v>
      </c>
      <c r="K86" s="638">
        <f>SUM(K87:K88)</f>
        <v>0</v>
      </c>
      <c r="L86" s="638">
        <f>SUM(L87:L88)</f>
        <v>0</v>
      </c>
      <c r="M86" s="638">
        <f>SUM(M87:M88)</f>
        <v>0</v>
      </c>
      <c r="N86" s="638">
        <f>SUM(N87:N88)</f>
        <v>0</v>
      </c>
      <c r="O86" s="638">
        <f>SUM(O87:O88)</f>
        <v>0</v>
      </c>
    </row>
    <row r="87" spans="1:15" s="920" customFormat="1" ht="15">
      <c r="A87" s="921">
        <v>1</v>
      </c>
      <c r="B87" s="922" t="s">
        <v>131</v>
      </c>
      <c r="C87" s="635">
        <f t="shared" si="28"/>
        <v>4075793</v>
      </c>
      <c r="D87" s="937">
        <v>3873743</v>
      </c>
      <c r="E87" s="640">
        <f aca="true" t="shared" si="30" ref="E87:E97">SUM(F87:G87)</f>
        <v>111053</v>
      </c>
      <c r="F87" s="937">
        <v>0</v>
      </c>
      <c r="G87" s="937">
        <v>111053</v>
      </c>
      <c r="H87" s="937">
        <v>0</v>
      </c>
      <c r="I87" s="937">
        <v>90997</v>
      </c>
      <c r="J87" s="937">
        <v>0</v>
      </c>
      <c r="K87" s="937">
        <v>0</v>
      </c>
      <c r="L87" s="937">
        <v>0</v>
      </c>
      <c r="M87" s="937">
        <v>0</v>
      </c>
      <c r="N87" s="937">
        <v>0</v>
      </c>
      <c r="O87" s="937">
        <v>0</v>
      </c>
    </row>
    <row r="88" spans="1:15" s="920" customFormat="1" ht="15">
      <c r="A88" s="921">
        <v>2</v>
      </c>
      <c r="B88" s="922" t="s">
        <v>132</v>
      </c>
      <c r="C88" s="635">
        <f t="shared" si="28"/>
        <v>1045458</v>
      </c>
      <c r="D88" s="937">
        <v>406462</v>
      </c>
      <c r="E88" s="640">
        <f t="shared" si="30"/>
        <v>15247</v>
      </c>
      <c r="F88" s="937">
        <v>0</v>
      </c>
      <c r="G88" s="937">
        <v>15247</v>
      </c>
      <c r="H88" s="937">
        <v>0</v>
      </c>
      <c r="I88" s="937">
        <v>623749</v>
      </c>
      <c r="J88" s="937">
        <v>0</v>
      </c>
      <c r="K88" s="937">
        <v>0</v>
      </c>
      <c r="L88" s="937">
        <v>0</v>
      </c>
      <c r="M88" s="937">
        <v>0</v>
      </c>
      <c r="N88" s="937">
        <v>0</v>
      </c>
      <c r="O88" s="937">
        <v>0</v>
      </c>
    </row>
    <row r="89" spans="1:15" s="920" customFormat="1" ht="15">
      <c r="A89" s="20" t="s">
        <v>1</v>
      </c>
      <c r="B89" s="923" t="s">
        <v>133</v>
      </c>
      <c r="C89" s="635">
        <f t="shared" si="28"/>
        <v>51000</v>
      </c>
      <c r="D89" s="937"/>
      <c r="E89" s="640">
        <f t="shared" si="30"/>
        <v>0</v>
      </c>
      <c r="F89" s="937">
        <v>0</v>
      </c>
      <c r="G89" s="937">
        <v>0</v>
      </c>
      <c r="H89" s="937">
        <v>0</v>
      </c>
      <c r="I89" s="937">
        <v>51000</v>
      </c>
      <c r="J89" s="937">
        <v>0</v>
      </c>
      <c r="K89" s="937">
        <v>0</v>
      </c>
      <c r="L89" s="937">
        <v>0</v>
      </c>
      <c r="M89" s="937">
        <v>0</v>
      </c>
      <c r="N89" s="937">
        <v>0</v>
      </c>
      <c r="O89" s="937">
        <v>0</v>
      </c>
    </row>
    <row r="90" spans="1:15" s="920" customFormat="1" ht="15">
      <c r="A90" s="20" t="s">
        <v>9</v>
      </c>
      <c r="B90" s="923" t="s">
        <v>134</v>
      </c>
      <c r="C90" s="635">
        <f t="shared" si="28"/>
        <v>0</v>
      </c>
      <c r="D90" s="937">
        <v>0</v>
      </c>
      <c r="E90" s="640">
        <f t="shared" si="30"/>
        <v>0</v>
      </c>
      <c r="F90" s="937">
        <v>0</v>
      </c>
      <c r="G90" s="937">
        <v>0</v>
      </c>
      <c r="H90" s="937">
        <v>0</v>
      </c>
      <c r="I90" s="937">
        <v>0</v>
      </c>
      <c r="J90" s="937">
        <v>0</v>
      </c>
      <c r="K90" s="937">
        <v>0</v>
      </c>
      <c r="L90" s="937">
        <v>0</v>
      </c>
      <c r="M90" s="937">
        <v>0</v>
      </c>
      <c r="N90" s="937">
        <v>0</v>
      </c>
      <c r="O90" s="937">
        <v>0</v>
      </c>
    </row>
    <row r="91" spans="1:15" s="920" customFormat="1" ht="14.25">
      <c r="A91" s="20" t="s">
        <v>135</v>
      </c>
      <c r="B91" s="923" t="s">
        <v>136</v>
      </c>
      <c r="C91" s="630">
        <f t="shared" si="28"/>
        <v>5070251</v>
      </c>
      <c r="D91" s="631">
        <f>D86-SUM(D89,D90)</f>
        <v>4280205</v>
      </c>
      <c r="E91" s="638">
        <f t="shared" si="30"/>
        <v>126300</v>
      </c>
      <c r="F91" s="631">
        <f aca="true" t="shared" si="31" ref="F91:O91">F86-SUM(F89,F90)</f>
        <v>0</v>
      </c>
      <c r="G91" s="631">
        <f t="shared" si="31"/>
        <v>126300</v>
      </c>
      <c r="H91" s="631">
        <f t="shared" si="31"/>
        <v>0</v>
      </c>
      <c r="I91" s="631">
        <f t="shared" si="31"/>
        <v>663746</v>
      </c>
      <c r="J91" s="631">
        <f t="shared" si="31"/>
        <v>0</v>
      </c>
      <c r="K91" s="631">
        <f t="shared" si="31"/>
        <v>0</v>
      </c>
      <c r="L91" s="631">
        <f t="shared" si="31"/>
        <v>0</v>
      </c>
      <c r="M91" s="631">
        <f t="shared" si="31"/>
        <v>0</v>
      </c>
      <c r="N91" s="631">
        <f t="shared" si="31"/>
        <v>0</v>
      </c>
      <c r="O91" s="631">
        <f t="shared" si="31"/>
        <v>0</v>
      </c>
    </row>
    <row r="92" spans="1:15" s="920" customFormat="1" ht="14.25">
      <c r="A92" s="20" t="s">
        <v>51</v>
      </c>
      <c r="B92" s="924" t="s">
        <v>137</v>
      </c>
      <c r="C92" s="630">
        <f t="shared" si="28"/>
        <v>3291612</v>
      </c>
      <c r="D92" s="639">
        <f>SUM(D93:D99)</f>
        <v>2698188</v>
      </c>
      <c r="E92" s="638">
        <f t="shared" si="30"/>
        <v>25715</v>
      </c>
      <c r="F92" s="639">
        <f aca="true" t="shared" si="32" ref="F92:O92">SUM(F93:F99)</f>
        <v>0</v>
      </c>
      <c r="G92" s="639">
        <f t="shared" si="32"/>
        <v>25715</v>
      </c>
      <c r="H92" s="639">
        <f t="shared" si="32"/>
        <v>0</v>
      </c>
      <c r="I92" s="639">
        <f t="shared" si="32"/>
        <v>567709</v>
      </c>
      <c r="J92" s="639">
        <f t="shared" si="32"/>
        <v>0</v>
      </c>
      <c r="K92" s="639">
        <f t="shared" si="32"/>
        <v>0</v>
      </c>
      <c r="L92" s="639">
        <f t="shared" si="32"/>
        <v>0</v>
      </c>
      <c r="M92" s="639">
        <f t="shared" si="32"/>
        <v>0</v>
      </c>
      <c r="N92" s="639">
        <f t="shared" si="32"/>
        <v>0</v>
      </c>
      <c r="O92" s="639">
        <f t="shared" si="32"/>
        <v>0</v>
      </c>
    </row>
    <row r="93" spans="1:15" s="920" customFormat="1" ht="15">
      <c r="A93" s="921" t="s">
        <v>53</v>
      </c>
      <c r="B93" s="922" t="s">
        <v>138</v>
      </c>
      <c r="C93" s="635">
        <f t="shared" si="28"/>
        <v>498454</v>
      </c>
      <c r="D93" s="938">
        <v>480106</v>
      </c>
      <c r="E93" s="640">
        <f t="shared" si="30"/>
        <v>1247</v>
      </c>
      <c r="F93" s="937">
        <v>0</v>
      </c>
      <c r="G93" s="937">
        <v>1247</v>
      </c>
      <c r="H93" s="937">
        <v>0</v>
      </c>
      <c r="I93" s="937">
        <v>17101</v>
      </c>
      <c r="J93" s="937">
        <v>0</v>
      </c>
      <c r="K93" s="937">
        <v>0</v>
      </c>
      <c r="L93" s="937">
        <v>0</v>
      </c>
      <c r="M93" s="937">
        <v>0</v>
      </c>
      <c r="N93" s="937">
        <v>0</v>
      </c>
      <c r="O93" s="937">
        <v>0</v>
      </c>
    </row>
    <row r="94" spans="1:15" s="920" customFormat="1" ht="15">
      <c r="A94" s="921" t="s">
        <v>54</v>
      </c>
      <c r="B94" s="922" t="s">
        <v>139</v>
      </c>
      <c r="C94" s="635">
        <f t="shared" si="28"/>
        <v>2971</v>
      </c>
      <c r="D94" s="938">
        <v>2971</v>
      </c>
      <c r="E94" s="640">
        <f t="shared" si="30"/>
        <v>0</v>
      </c>
      <c r="F94" s="937">
        <v>0</v>
      </c>
      <c r="G94" s="937">
        <v>0</v>
      </c>
      <c r="H94" s="937">
        <v>0</v>
      </c>
      <c r="I94" s="937">
        <v>0</v>
      </c>
      <c r="J94" s="937">
        <v>0</v>
      </c>
      <c r="K94" s="937">
        <v>0</v>
      </c>
      <c r="L94" s="937">
        <v>0</v>
      </c>
      <c r="M94" s="937">
        <v>0</v>
      </c>
      <c r="N94" s="937">
        <v>0</v>
      </c>
      <c r="O94" s="937">
        <v>0</v>
      </c>
    </row>
    <row r="95" spans="1:15" s="920" customFormat="1" ht="15">
      <c r="A95" s="921" t="s">
        <v>140</v>
      </c>
      <c r="B95" s="922" t="s">
        <v>141</v>
      </c>
      <c r="C95" s="635">
        <f t="shared" si="28"/>
        <v>2670187</v>
      </c>
      <c r="D95" s="938">
        <v>2095111</v>
      </c>
      <c r="E95" s="640">
        <f t="shared" si="30"/>
        <v>24468</v>
      </c>
      <c r="F95" s="937">
        <v>0</v>
      </c>
      <c r="G95" s="937">
        <v>24468</v>
      </c>
      <c r="H95" s="937">
        <v>0</v>
      </c>
      <c r="I95" s="937">
        <v>550608</v>
      </c>
      <c r="J95" s="937">
        <v>0</v>
      </c>
      <c r="K95" s="937">
        <v>0</v>
      </c>
      <c r="L95" s="937">
        <v>0</v>
      </c>
      <c r="M95" s="937">
        <v>0</v>
      </c>
      <c r="N95" s="937">
        <v>0</v>
      </c>
      <c r="O95" s="937">
        <v>0</v>
      </c>
    </row>
    <row r="96" spans="1:15" s="920" customFormat="1" ht="15">
      <c r="A96" s="921" t="s">
        <v>142</v>
      </c>
      <c r="B96" s="922" t="s">
        <v>143</v>
      </c>
      <c r="C96" s="635">
        <f t="shared" si="28"/>
        <v>0</v>
      </c>
      <c r="D96" s="938">
        <v>0</v>
      </c>
      <c r="E96" s="640">
        <f t="shared" si="30"/>
        <v>0</v>
      </c>
      <c r="F96" s="938"/>
      <c r="G96" s="938"/>
      <c r="H96" s="938"/>
      <c r="I96" s="938"/>
      <c r="J96" s="938"/>
      <c r="K96" s="938">
        <v>0</v>
      </c>
      <c r="L96" s="938">
        <v>0</v>
      </c>
      <c r="M96" s="938">
        <v>0</v>
      </c>
      <c r="N96" s="938">
        <v>0</v>
      </c>
      <c r="O96" s="938">
        <v>0</v>
      </c>
    </row>
    <row r="97" spans="1:15" s="920" customFormat="1" ht="15">
      <c r="A97" s="921" t="s">
        <v>144</v>
      </c>
      <c r="B97" s="922" t="s">
        <v>145</v>
      </c>
      <c r="C97" s="635">
        <f t="shared" si="28"/>
        <v>0</v>
      </c>
      <c r="D97" s="938">
        <v>0</v>
      </c>
      <c r="E97" s="640">
        <f t="shared" si="30"/>
        <v>0</v>
      </c>
      <c r="F97" s="938">
        <v>0</v>
      </c>
      <c r="G97" s="938">
        <v>0</v>
      </c>
      <c r="H97" s="938">
        <v>0</v>
      </c>
      <c r="I97" s="938">
        <v>0</v>
      </c>
      <c r="J97" s="938">
        <v>0</v>
      </c>
      <c r="K97" s="938">
        <v>0</v>
      </c>
      <c r="L97" s="938">
        <v>0</v>
      </c>
      <c r="M97" s="938">
        <v>0</v>
      </c>
      <c r="N97" s="938">
        <v>0</v>
      </c>
      <c r="O97" s="938">
        <v>0</v>
      </c>
    </row>
    <row r="98" spans="1:15" s="920" customFormat="1" ht="30">
      <c r="A98" s="921" t="s">
        <v>146</v>
      </c>
      <c r="B98" s="925" t="s">
        <v>147</v>
      </c>
      <c r="C98" s="635">
        <f t="shared" si="28"/>
        <v>0</v>
      </c>
      <c r="D98" s="938">
        <v>0</v>
      </c>
      <c r="E98" s="640">
        <f>SUM(F98:G98)</f>
        <v>0</v>
      </c>
      <c r="F98" s="938">
        <v>0</v>
      </c>
      <c r="G98" s="938">
        <v>0</v>
      </c>
      <c r="H98" s="938">
        <v>0</v>
      </c>
      <c r="I98" s="938">
        <v>0</v>
      </c>
      <c r="J98" s="938">
        <v>0</v>
      </c>
      <c r="K98" s="938">
        <v>0</v>
      </c>
      <c r="L98" s="938">
        <v>0</v>
      </c>
      <c r="M98" s="938">
        <v>0</v>
      </c>
      <c r="N98" s="938">
        <v>0</v>
      </c>
      <c r="O98" s="938">
        <v>0</v>
      </c>
    </row>
    <row r="99" spans="1:15" s="920" customFormat="1" ht="15">
      <c r="A99" s="921" t="s">
        <v>148</v>
      </c>
      <c r="B99" s="922" t="s">
        <v>149</v>
      </c>
      <c r="C99" s="635">
        <f t="shared" si="28"/>
        <v>120000</v>
      </c>
      <c r="D99" s="938">
        <v>120000</v>
      </c>
      <c r="E99" s="640">
        <f>SUM(F99:G99)</f>
        <v>0</v>
      </c>
      <c r="F99" s="938">
        <v>0</v>
      </c>
      <c r="G99" s="938">
        <v>0</v>
      </c>
      <c r="H99" s="938">
        <v>0</v>
      </c>
      <c r="I99" s="938">
        <v>0</v>
      </c>
      <c r="J99" s="938">
        <v>0</v>
      </c>
      <c r="K99" s="938">
        <v>0</v>
      </c>
      <c r="L99" s="938">
        <v>0</v>
      </c>
      <c r="M99" s="938">
        <v>0</v>
      </c>
      <c r="N99" s="938">
        <v>0</v>
      </c>
      <c r="O99" s="938">
        <v>0</v>
      </c>
    </row>
    <row r="100" spans="1:15" s="920" customFormat="1" ht="14.25">
      <c r="A100" s="20" t="s">
        <v>52</v>
      </c>
      <c r="B100" s="923" t="s">
        <v>150</v>
      </c>
      <c r="C100" s="646">
        <f>C86-C89-C90-C92</f>
        <v>1778639</v>
      </c>
      <c r="D100" s="646">
        <f>D91-D92</f>
        <v>1582017</v>
      </c>
      <c r="E100" s="646">
        <f aca="true" t="shared" si="33" ref="E100:O100">E91-E92</f>
        <v>100585</v>
      </c>
      <c r="F100" s="646">
        <f t="shared" si="33"/>
        <v>0</v>
      </c>
      <c r="G100" s="646">
        <f t="shared" si="33"/>
        <v>100585</v>
      </c>
      <c r="H100" s="646">
        <f t="shared" si="33"/>
        <v>0</v>
      </c>
      <c r="I100" s="646">
        <f t="shared" si="33"/>
        <v>96037</v>
      </c>
      <c r="J100" s="646">
        <f t="shared" si="33"/>
        <v>0</v>
      </c>
      <c r="K100" s="646">
        <f t="shared" si="33"/>
        <v>0</v>
      </c>
      <c r="L100" s="646">
        <f t="shared" si="33"/>
        <v>0</v>
      </c>
      <c r="M100" s="646">
        <f t="shared" si="33"/>
        <v>0</v>
      </c>
      <c r="N100" s="646">
        <f t="shared" si="33"/>
        <v>0</v>
      </c>
      <c r="O100" s="646">
        <f t="shared" si="33"/>
        <v>0</v>
      </c>
    </row>
    <row r="101" spans="1:15" s="920" customFormat="1" ht="30">
      <c r="A101" s="926" t="s">
        <v>538</v>
      </c>
      <c r="B101" s="927" t="s">
        <v>731</v>
      </c>
      <c r="C101" s="530">
        <f>(C93+C94)/C92</f>
        <v>0.15233417547390155</v>
      </c>
      <c r="D101" s="531">
        <f aca="true" t="shared" si="34" ref="D101:O101">(D93+D94)/D92</f>
        <v>0.17903756150423913</v>
      </c>
      <c r="E101" s="530">
        <f t="shared" si="34"/>
        <v>0.048493097413960726</v>
      </c>
      <c r="F101" s="531" t="e">
        <f t="shared" si="34"/>
        <v>#DIV/0!</v>
      </c>
      <c r="G101" s="531">
        <f t="shared" si="34"/>
        <v>0.048493097413960726</v>
      </c>
      <c r="H101" s="531" t="e">
        <f t="shared" si="34"/>
        <v>#DIV/0!</v>
      </c>
      <c r="I101" s="531">
        <f t="shared" si="34"/>
        <v>0.030122827011726076</v>
      </c>
      <c r="J101" s="531" t="e">
        <f t="shared" si="34"/>
        <v>#DIV/0!</v>
      </c>
      <c r="K101" s="531" t="e">
        <f t="shared" si="34"/>
        <v>#DIV/0!</v>
      </c>
      <c r="L101" s="531" t="e">
        <f t="shared" si="34"/>
        <v>#DIV/0!</v>
      </c>
      <c r="M101" s="531" t="e">
        <f t="shared" si="34"/>
        <v>#DIV/0!</v>
      </c>
      <c r="N101" s="531" t="e">
        <f t="shared" si="34"/>
        <v>#DIV/0!</v>
      </c>
      <c r="O101" s="531" t="e">
        <f t="shared" si="34"/>
        <v>#DIV/0!</v>
      </c>
    </row>
    <row r="102" s="920" customFormat="1" ht="14.25">
      <c r="A102" s="928"/>
    </row>
    <row r="103" spans="1:2" s="920" customFormat="1" ht="14.25">
      <c r="A103" s="928"/>
      <c r="B103" s="929" t="s">
        <v>704</v>
      </c>
    </row>
    <row r="104" s="920" customFormat="1" ht="0.75" customHeight="1">
      <c r="A104" s="928"/>
    </row>
    <row r="105" spans="1:15" s="920" customFormat="1" ht="15" customHeight="1">
      <c r="A105" s="1272" t="s">
        <v>68</v>
      </c>
      <c r="B105" s="1273"/>
      <c r="C105" s="1278" t="s">
        <v>37</v>
      </c>
      <c r="D105" s="1278" t="s">
        <v>335</v>
      </c>
      <c r="E105" s="1282"/>
      <c r="F105" s="1282"/>
      <c r="G105" s="1282"/>
      <c r="H105" s="1282"/>
      <c r="I105" s="1282"/>
      <c r="J105" s="1282"/>
      <c r="K105" s="1282"/>
      <c r="L105" s="1282"/>
      <c r="M105" s="1282"/>
      <c r="N105" s="1282"/>
      <c r="O105" s="1283"/>
    </row>
    <row r="106" spans="1:15" s="920" customFormat="1" ht="15" customHeight="1">
      <c r="A106" s="1274"/>
      <c r="B106" s="1275"/>
      <c r="C106" s="1279"/>
      <c r="D106" s="1284" t="s">
        <v>119</v>
      </c>
      <c r="E106" s="1266" t="s">
        <v>120</v>
      </c>
      <c r="F106" s="1267"/>
      <c r="G106" s="1268"/>
      <c r="H106" s="1262" t="s">
        <v>121</v>
      </c>
      <c r="I106" s="1262" t="s">
        <v>122</v>
      </c>
      <c r="J106" s="1262" t="s">
        <v>198</v>
      </c>
      <c r="K106" s="1262" t="s">
        <v>124</v>
      </c>
      <c r="L106" s="1262" t="s">
        <v>125</v>
      </c>
      <c r="M106" s="1262" t="s">
        <v>126</v>
      </c>
      <c r="N106" s="1262" t="s">
        <v>183</v>
      </c>
      <c r="O106" s="1262" t="s">
        <v>127</v>
      </c>
    </row>
    <row r="107" spans="1:15" s="920" customFormat="1" ht="15">
      <c r="A107" s="1274"/>
      <c r="B107" s="1275"/>
      <c r="C107" s="1279"/>
      <c r="D107" s="1284"/>
      <c r="E107" s="1271" t="s">
        <v>36</v>
      </c>
      <c r="F107" s="1264" t="s">
        <v>7</v>
      </c>
      <c r="G107" s="1265"/>
      <c r="H107" s="1262"/>
      <c r="I107" s="1262"/>
      <c r="J107" s="1262"/>
      <c r="K107" s="1262"/>
      <c r="L107" s="1262"/>
      <c r="M107" s="1262"/>
      <c r="N107" s="1262"/>
      <c r="O107" s="1262"/>
    </row>
    <row r="108" spans="1:15" s="920" customFormat="1" ht="15">
      <c r="A108" s="1276"/>
      <c r="B108" s="1277"/>
      <c r="C108" s="1279"/>
      <c r="D108" s="1285"/>
      <c r="E108" s="1263"/>
      <c r="F108" s="557" t="s">
        <v>199</v>
      </c>
      <c r="G108" s="558" t="s">
        <v>200</v>
      </c>
      <c r="H108" s="1263"/>
      <c r="I108" s="1263"/>
      <c r="J108" s="1263"/>
      <c r="K108" s="1263"/>
      <c r="L108" s="1263"/>
      <c r="M108" s="1263"/>
      <c r="N108" s="1263"/>
      <c r="O108" s="1263"/>
    </row>
    <row r="109" spans="1:15" s="920" customFormat="1" ht="15">
      <c r="A109" s="1323" t="s">
        <v>39</v>
      </c>
      <c r="B109" s="1324"/>
      <c r="C109" s="930">
        <v>1</v>
      </c>
      <c r="D109" s="930">
        <v>2</v>
      </c>
      <c r="E109" s="930">
        <v>3</v>
      </c>
      <c r="F109" s="930">
        <v>4</v>
      </c>
      <c r="G109" s="930">
        <v>5</v>
      </c>
      <c r="H109" s="930">
        <v>6</v>
      </c>
      <c r="I109" s="930">
        <v>7</v>
      </c>
      <c r="J109" s="930">
        <v>8</v>
      </c>
      <c r="K109" s="930">
        <v>9</v>
      </c>
      <c r="L109" s="930">
        <v>10</v>
      </c>
      <c r="M109" s="930">
        <v>11</v>
      </c>
      <c r="N109" s="930">
        <v>12</v>
      </c>
      <c r="O109" s="930">
        <v>13</v>
      </c>
    </row>
    <row r="110" spans="1:15" s="920" customFormat="1" ht="14.25">
      <c r="A110" s="917" t="s">
        <v>0</v>
      </c>
      <c r="B110" s="918" t="s">
        <v>130</v>
      </c>
      <c r="C110" s="630">
        <f aca="true" t="shared" si="35" ref="C110:C123">SUM(D110,E110,H110:O110)</f>
        <v>17725046</v>
      </c>
      <c r="D110" s="638">
        <f>SUM(D111:D112)</f>
        <v>16330857</v>
      </c>
      <c r="E110" s="638">
        <f aca="true" t="shared" si="36" ref="E110:J110">SUM(E111:E112)</f>
        <v>1289288</v>
      </c>
      <c r="F110" s="638">
        <f t="shared" si="36"/>
        <v>0</v>
      </c>
      <c r="G110" s="638">
        <f t="shared" si="36"/>
        <v>1289288</v>
      </c>
      <c r="H110" s="638">
        <f t="shared" si="36"/>
        <v>0</v>
      </c>
      <c r="I110" s="638">
        <f t="shared" si="36"/>
        <v>104901</v>
      </c>
      <c r="J110" s="638">
        <f t="shared" si="36"/>
        <v>0</v>
      </c>
      <c r="K110" s="638">
        <f>SUM(K111:K112)</f>
        <v>0</v>
      </c>
      <c r="L110" s="638">
        <f>SUM(L111:L112)</f>
        <v>0</v>
      </c>
      <c r="M110" s="638">
        <f>SUM(M111:M112)</f>
        <v>0</v>
      </c>
      <c r="N110" s="638">
        <f>SUM(N111:N112)</f>
        <v>0</v>
      </c>
      <c r="O110" s="638">
        <f>SUM(O111:O112)</f>
        <v>0</v>
      </c>
    </row>
    <row r="111" spans="1:15" s="920" customFormat="1" ht="15">
      <c r="A111" s="921">
        <v>1</v>
      </c>
      <c r="B111" s="922" t="s">
        <v>131</v>
      </c>
      <c r="C111" s="635">
        <f t="shared" si="35"/>
        <v>16552530</v>
      </c>
      <c r="D111" s="405">
        <v>15377073</v>
      </c>
      <c r="E111" s="640">
        <f aca="true" t="shared" si="37" ref="E111:E121">SUM(F111:G111)</f>
        <v>1118256</v>
      </c>
      <c r="F111" s="405">
        <v>0</v>
      </c>
      <c r="G111" s="405">
        <v>1118256</v>
      </c>
      <c r="H111" s="405">
        <v>0</v>
      </c>
      <c r="I111" s="405">
        <v>57201</v>
      </c>
      <c r="J111" s="405">
        <v>0</v>
      </c>
      <c r="K111" s="405">
        <v>0</v>
      </c>
      <c r="L111" s="937">
        <v>0</v>
      </c>
      <c r="M111" s="937">
        <v>0</v>
      </c>
      <c r="N111" s="937">
        <v>0</v>
      </c>
      <c r="O111" s="937">
        <v>0</v>
      </c>
    </row>
    <row r="112" spans="1:15" s="920" customFormat="1" ht="15">
      <c r="A112" s="921">
        <v>2</v>
      </c>
      <c r="B112" s="922" t="s">
        <v>132</v>
      </c>
      <c r="C112" s="635">
        <f t="shared" si="35"/>
        <v>1172516</v>
      </c>
      <c r="D112" s="405">
        <v>953784</v>
      </c>
      <c r="E112" s="640">
        <f t="shared" si="37"/>
        <v>171032</v>
      </c>
      <c r="F112" s="405">
        <v>0</v>
      </c>
      <c r="G112" s="405">
        <v>171032</v>
      </c>
      <c r="H112" s="405">
        <v>0</v>
      </c>
      <c r="I112" s="405">
        <v>47700</v>
      </c>
      <c r="J112" s="405">
        <v>0</v>
      </c>
      <c r="K112" s="405">
        <v>0</v>
      </c>
      <c r="L112" s="937">
        <v>0</v>
      </c>
      <c r="M112" s="937">
        <v>0</v>
      </c>
      <c r="N112" s="937">
        <v>0</v>
      </c>
      <c r="O112" s="937">
        <v>0</v>
      </c>
    </row>
    <row r="113" spans="1:15" s="920" customFormat="1" ht="15">
      <c r="A113" s="20" t="s">
        <v>1</v>
      </c>
      <c r="B113" s="923" t="s">
        <v>133</v>
      </c>
      <c r="C113" s="635">
        <f t="shared" si="35"/>
        <v>0</v>
      </c>
      <c r="D113" s="405">
        <v>0</v>
      </c>
      <c r="E113" s="640">
        <f t="shared" si="37"/>
        <v>0</v>
      </c>
      <c r="F113" s="405">
        <v>0</v>
      </c>
      <c r="G113" s="405">
        <v>0</v>
      </c>
      <c r="H113" s="405">
        <v>0</v>
      </c>
      <c r="I113" s="405">
        <v>0</v>
      </c>
      <c r="J113" s="405">
        <v>0</v>
      </c>
      <c r="K113" s="405">
        <v>0</v>
      </c>
      <c r="L113" s="937">
        <v>0</v>
      </c>
      <c r="M113" s="937">
        <v>0</v>
      </c>
      <c r="N113" s="937">
        <v>0</v>
      </c>
      <c r="O113" s="937">
        <v>0</v>
      </c>
    </row>
    <row r="114" spans="1:15" s="920" customFormat="1" ht="0.75" customHeight="1">
      <c r="A114" s="20" t="s">
        <v>9</v>
      </c>
      <c r="B114" s="923" t="s">
        <v>134</v>
      </c>
      <c r="C114" s="635">
        <f t="shared" si="35"/>
        <v>0</v>
      </c>
      <c r="D114" s="937">
        <v>0</v>
      </c>
      <c r="E114" s="640">
        <f t="shared" si="37"/>
        <v>0</v>
      </c>
      <c r="F114" s="937">
        <v>0</v>
      </c>
      <c r="G114" s="937">
        <v>0</v>
      </c>
      <c r="H114" s="937">
        <v>0</v>
      </c>
      <c r="I114" s="937">
        <v>0</v>
      </c>
      <c r="J114" s="937">
        <v>0</v>
      </c>
      <c r="K114" s="937">
        <v>0</v>
      </c>
      <c r="L114" s="937">
        <v>0</v>
      </c>
      <c r="M114" s="937">
        <v>0</v>
      </c>
      <c r="N114" s="937">
        <v>0</v>
      </c>
      <c r="O114" s="937">
        <v>0</v>
      </c>
    </row>
    <row r="115" spans="1:15" s="920" customFormat="1" ht="14.25">
      <c r="A115" s="20" t="s">
        <v>135</v>
      </c>
      <c r="B115" s="923" t="s">
        <v>136</v>
      </c>
      <c r="C115" s="630">
        <f t="shared" si="35"/>
        <v>17725046</v>
      </c>
      <c r="D115" s="631">
        <f>D110-SUM(D113,D114)</f>
        <v>16330857</v>
      </c>
      <c r="E115" s="638">
        <f t="shared" si="37"/>
        <v>1289288</v>
      </c>
      <c r="F115" s="631">
        <f aca="true" t="shared" si="38" ref="F115:O115">F110-SUM(F113,F114)</f>
        <v>0</v>
      </c>
      <c r="G115" s="631">
        <f t="shared" si="38"/>
        <v>1289288</v>
      </c>
      <c r="H115" s="631">
        <f t="shared" si="38"/>
        <v>0</v>
      </c>
      <c r="I115" s="631">
        <f t="shared" si="38"/>
        <v>104901</v>
      </c>
      <c r="J115" s="631">
        <f t="shared" si="38"/>
        <v>0</v>
      </c>
      <c r="K115" s="631">
        <f t="shared" si="38"/>
        <v>0</v>
      </c>
      <c r="L115" s="631">
        <f t="shared" si="38"/>
        <v>0</v>
      </c>
      <c r="M115" s="631">
        <f t="shared" si="38"/>
        <v>0</v>
      </c>
      <c r="N115" s="631">
        <f t="shared" si="38"/>
        <v>0</v>
      </c>
      <c r="O115" s="631">
        <f t="shared" si="38"/>
        <v>0</v>
      </c>
    </row>
    <row r="116" spans="1:15" s="920" customFormat="1" ht="18.75" customHeight="1">
      <c r="A116" s="20" t="s">
        <v>51</v>
      </c>
      <c r="B116" s="924" t="s">
        <v>137</v>
      </c>
      <c r="C116" s="630">
        <f t="shared" si="35"/>
        <v>5227497</v>
      </c>
      <c r="D116" s="639">
        <f>SUM(D117:D123)</f>
        <v>4972665</v>
      </c>
      <c r="E116" s="638">
        <f t="shared" si="37"/>
        <v>189132</v>
      </c>
      <c r="F116" s="639">
        <f aca="true" t="shared" si="39" ref="F116:O116">SUM(F117:F123)</f>
        <v>0</v>
      </c>
      <c r="G116" s="639">
        <f t="shared" si="39"/>
        <v>189132</v>
      </c>
      <c r="H116" s="639">
        <f t="shared" si="39"/>
        <v>0</v>
      </c>
      <c r="I116" s="639">
        <f t="shared" si="39"/>
        <v>65700</v>
      </c>
      <c r="J116" s="639">
        <f t="shared" si="39"/>
        <v>0</v>
      </c>
      <c r="K116" s="639">
        <f t="shared" si="39"/>
        <v>0</v>
      </c>
      <c r="L116" s="639">
        <f t="shared" si="39"/>
        <v>0</v>
      </c>
      <c r="M116" s="639">
        <f t="shared" si="39"/>
        <v>0</v>
      </c>
      <c r="N116" s="639">
        <f t="shared" si="39"/>
        <v>0</v>
      </c>
      <c r="O116" s="639">
        <f t="shared" si="39"/>
        <v>0</v>
      </c>
    </row>
    <row r="117" spans="1:15" s="920" customFormat="1" ht="18.75" customHeight="1">
      <c r="A117" s="921" t="s">
        <v>53</v>
      </c>
      <c r="B117" s="922" t="s">
        <v>138</v>
      </c>
      <c r="C117" s="635">
        <f t="shared" si="35"/>
        <v>133057</v>
      </c>
      <c r="D117" s="405">
        <v>63160</v>
      </c>
      <c r="E117" s="640">
        <f t="shared" si="37"/>
        <v>22197</v>
      </c>
      <c r="F117" s="405">
        <v>0</v>
      </c>
      <c r="G117" s="405">
        <v>22197</v>
      </c>
      <c r="H117" s="405">
        <v>0</v>
      </c>
      <c r="I117" s="405">
        <v>47700</v>
      </c>
      <c r="J117" s="405">
        <v>0</v>
      </c>
      <c r="K117" s="405">
        <v>0</v>
      </c>
      <c r="L117" s="405">
        <v>0</v>
      </c>
      <c r="M117" s="405">
        <v>0</v>
      </c>
      <c r="N117" s="405">
        <v>0</v>
      </c>
      <c r="O117" s="938">
        <v>0</v>
      </c>
    </row>
    <row r="118" spans="1:15" s="920" customFormat="1" ht="15">
      <c r="A118" s="921" t="s">
        <v>54</v>
      </c>
      <c r="B118" s="922" t="s">
        <v>139</v>
      </c>
      <c r="C118" s="635">
        <f t="shared" si="35"/>
        <v>0</v>
      </c>
      <c r="D118" s="405">
        <v>0</v>
      </c>
      <c r="E118" s="640">
        <f t="shared" si="37"/>
        <v>0</v>
      </c>
      <c r="F118" s="405">
        <v>0</v>
      </c>
      <c r="G118" s="405">
        <v>0</v>
      </c>
      <c r="H118" s="405">
        <v>0</v>
      </c>
      <c r="I118" s="405">
        <v>0</v>
      </c>
      <c r="J118" s="405">
        <v>0</v>
      </c>
      <c r="K118" s="405">
        <v>0</v>
      </c>
      <c r="L118" s="405">
        <v>0</v>
      </c>
      <c r="M118" s="405">
        <v>0</v>
      </c>
      <c r="N118" s="405">
        <v>0</v>
      </c>
      <c r="O118" s="938">
        <v>0</v>
      </c>
    </row>
    <row r="119" spans="1:15" s="920" customFormat="1" ht="15">
      <c r="A119" s="921" t="s">
        <v>140</v>
      </c>
      <c r="B119" s="922" t="s">
        <v>141</v>
      </c>
      <c r="C119" s="635">
        <f t="shared" si="35"/>
        <v>3705714</v>
      </c>
      <c r="D119" s="405">
        <v>3520779</v>
      </c>
      <c r="E119" s="640">
        <f t="shared" si="37"/>
        <v>166935</v>
      </c>
      <c r="F119" s="405">
        <v>0</v>
      </c>
      <c r="G119" s="405">
        <v>166935</v>
      </c>
      <c r="H119" s="405">
        <v>0</v>
      </c>
      <c r="I119" s="405">
        <v>18000</v>
      </c>
      <c r="J119" s="405">
        <v>0</v>
      </c>
      <c r="K119" s="405">
        <v>0</v>
      </c>
      <c r="L119" s="405">
        <v>0</v>
      </c>
      <c r="M119" s="405">
        <v>0</v>
      </c>
      <c r="N119" s="405">
        <v>0</v>
      </c>
      <c r="O119" s="938">
        <v>0</v>
      </c>
    </row>
    <row r="120" spans="1:15" s="920" customFormat="1" ht="15">
      <c r="A120" s="921" t="s">
        <v>142</v>
      </c>
      <c r="B120" s="922" t="s">
        <v>143</v>
      </c>
      <c r="C120" s="635">
        <f t="shared" si="35"/>
        <v>1388726</v>
      </c>
      <c r="D120" s="405">
        <v>1388726</v>
      </c>
      <c r="E120" s="640">
        <f t="shared" si="37"/>
        <v>0</v>
      </c>
      <c r="F120" s="405">
        <v>0</v>
      </c>
      <c r="G120" s="405">
        <v>0</v>
      </c>
      <c r="H120" s="405">
        <v>0</v>
      </c>
      <c r="I120" s="405">
        <v>0</v>
      </c>
      <c r="J120" s="405">
        <v>0</v>
      </c>
      <c r="K120" s="405">
        <v>0</v>
      </c>
      <c r="L120" s="405">
        <v>0</v>
      </c>
      <c r="M120" s="405">
        <v>0</v>
      </c>
      <c r="N120" s="405">
        <v>0</v>
      </c>
      <c r="O120" s="938">
        <v>0</v>
      </c>
    </row>
    <row r="121" spans="1:15" s="920" customFormat="1" ht="15">
      <c r="A121" s="921" t="s">
        <v>144</v>
      </c>
      <c r="B121" s="922" t="s">
        <v>145</v>
      </c>
      <c r="C121" s="635">
        <f t="shared" si="35"/>
        <v>0</v>
      </c>
      <c r="D121" s="405">
        <v>0</v>
      </c>
      <c r="E121" s="640">
        <f t="shared" si="37"/>
        <v>0</v>
      </c>
      <c r="F121" s="405">
        <v>0</v>
      </c>
      <c r="G121" s="405">
        <v>0</v>
      </c>
      <c r="H121" s="405">
        <v>0</v>
      </c>
      <c r="I121" s="405">
        <v>0</v>
      </c>
      <c r="J121" s="405">
        <v>0</v>
      </c>
      <c r="K121" s="938">
        <v>0</v>
      </c>
      <c r="L121" s="938">
        <v>0</v>
      </c>
      <c r="M121" s="938">
        <v>0</v>
      </c>
      <c r="N121" s="938">
        <v>0</v>
      </c>
      <c r="O121" s="938">
        <v>0</v>
      </c>
    </row>
    <row r="122" spans="1:15" s="920" customFormat="1" ht="30">
      <c r="A122" s="921" t="s">
        <v>146</v>
      </c>
      <c r="B122" s="925" t="s">
        <v>147</v>
      </c>
      <c r="C122" s="635">
        <f t="shared" si="35"/>
        <v>0</v>
      </c>
      <c r="D122" s="405">
        <v>0</v>
      </c>
      <c r="E122" s="640">
        <f>SUM(F122:G122)</f>
        <v>0</v>
      </c>
      <c r="F122" s="938">
        <v>0</v>
      </c>
      <c r="G122" s="938">
        <v>0</v>
      </c>
      <c r="H122" s="938">
        <v>0</v>
      </c>
      <c r="I122" s="938">
        <v>0</v>
      </c>
      <c r="J122" s="938">
        <v>0</v>
      </c>
      <c r="K122" s="938">
        <v>0</v>
      </c>
      <c r="L122" s="938">
        <v>0</v>
      </c>
      <c r="M122" s="938">
        <v>0</v>
      </c>
      <c r="N122" s="938">
        <v>0</v>
      </c>
      <c r="O122" s="938">
        <v>0</v>
      </c>
    </row>
    <row r="123" spans="1:15" s="920" customFormat="1" ht="20.25" customHeight="1">
      <c r="A123" s="921" t="s">
        <v>148</v>
      </c>
      <c r="B123" s="922" t="s">
        <v>149</v>
      </c>
      <c r="C123" s="635">
        <f t="shared" si="35"/>
        <v>0</v>
      </c>
      <c r="D123" s="405">
        <v>0</v>
      </c>
      <c r="E123" s="640">
        <f>SUM(F123:G123)</f>
        <v>0</v>
      </c>
      <c r="F123" s="938">
        <v>0</v>
      </c>
      <c r="G123" s="938">
        <v>0</v>
      </c>
      <c r="H123" s="938">
        <v>0</v>
      </c>
      <c r="I123" s="938">
        <v>0</v>
      </c>
      <c r="J123" s="938">
        <v>0</v>
      </c>
      <c r="K123" s="938">
        <v>0</v>
      </c>
      <c r="L123" s="938">
        <v>0</v>
      </c>
      <c r="M123" s="938">
        <v>0</v>
      </c>
      <c r="N123" s="938">
        <v>0</v>
      </c>
      <c r="O123" s="938">
        <v>0</v>
      </c>
    </row>
    <row r="124" spans="1:15" s="920" customFormat="1" ht="21" customHeight="1">
      <c r="A124" s="20" t="s">
        <v>52</v>
      </c>
      <c r="B124" s="923" t="s">
        <v>150</v>
      </c>
      <c r="C124" s="646">
        <f>C110-C113-C114-C116</f>
        <v>12497549</v>
      </c>
      <c r="D124" s="646">
        <f>D110-D113-D114-D116</f>
        <v>11358192</v>
      </c>
      <c r="E124" s="646">
        <f aca="true" t="shared" si="40" ref="E124:O124">E115-E116</f>
        <v>1100156</v>
      </c>
      <c r="F124" s="646">
        <f t="shared" si="40"/>
        <v>0</v>
      </c>
      <c r="G124" s="646">
        <f t="shared" si="40"/>
        <v>1100156</v>
      </c>
      <c r="H124" s="646">
        <f t="shared" si="40"/>
        <v>0</v>
      </c>
      <c r="I124" s="646">
        <f t="shared" si="40"/>
        <v>39201</v>
      </c>
      <c r="J124" s="646">
        <f t="shared" si="40"/>
        <v>0</v>
      </c>
      <c r="K124" s="646">
        <f t="shared" si="40"/>
        <v>0</v>
      </c>
      <c r="L124" s="646">
        <f t="shared" si="40"/>
        <v>0</v>
      </c>
      <c r="M124" s="646">
        <f t="shared" si="40"/>
        <v>0</v>
      </c>
      <c r="N124" s="646">
        <f t="shared" si="40"/>
        <v>0</v>
      </c>
      <c r="O124" s="646">
        <f t="shared" si="40"/>
        <v>0</v>
      </c>
    </row>
    <row r="125" spans="1:15" s="920" customFormat="1" ht="30">
      <c r="A125" s="926" t="s">
        <v>538</v>
      </c>
      <c r="B125" s="927" t="s">
        <v>731</v>
      </c>
      <c r="C125" s="530">
        <f>(C117+C118)/C116</f>
        <v>0.025453290551864495</v>
      </c>
      <c r="D125" s="531">
        <f aca="true" t="shared" si="41" ref="D125:O125">(D117+D118)/D116</f>
        <v>0.012701438765732258</v>
      </c>
      <c r="E125" s="530">
        <f t="shared" si="41"/>
        <v>0.11736247700019034</v>
      </c>
      <c r="F125" s="531" t="e">
        <f t="shared" si="41"/>
        <v>#DIV/0!</v>
      </c>
      <c r="G125" s="531">
        <f t="shared" si="41"/>
        <v>0.11736247700019034</v>
      </c>
      <c r="H125" s="531" t="e">
        <f t="shared" si="41"/>
        <v>#DIV/0!</v>
      </c>
      <c r="I125" s="531">
        <f t="shared" si="41"/>
        <v>0.726027397260274</v>
      </c>
      <c r="J125" s="531" t="e">
        <f t="shared" si="41"/>
        <v>#DIV/0!</v>
      </c>
      <c r="K125" s="531" t="e">
        <f t="shared" si="41"/>
        <v>#DIV/0!</v>
      </c>
      <c r="L125" s="531" t="e">
        <f t="shared" si="41"/>
        <v>#DIV/0!</v>
      </c>
      <c r="M125" s="531" t="e">
        <f t="shared" si="41"/>
        <v>#DIV/0!</v>
      </c>
      <c r="N125" s="531" t="e">
        <f t="shared" si="41"/>
        <v>#DIV/0!</v>
      </c>
      <c r="O125" s="531" t="e">
        <f t="shared" si="41"/>
        <v>#DIV/0!</v>
      </c>
    </row>
    <row r="126" s="920" customFormat="1" ht="16.5" customHeight="1">
      <c r="A126" s="928"/>
    </row>
    <row r="127" spans="1:2" s="920" customFormat="1" ht="14.25">
      <c r="A127" s="928"/>
      <c r="B127" s="929" t="s">
        <v>708</v>
      </c>
    </row>
    <row r="128" s="920" customFormat="1" ht="14.25">
      <c r="A128" s="928"/>
    </row>
    <row r="129" spans="1:15" s="920" customFormat="1" ht="14.25">
      <c r="A129" s="1272" t="s">
        <v>68</v>
      </c>
      <c r="B129" s="1273"/>
      <c r="C129" s="1278" t="s">
        <v>37</v>
      </c>
      <c r="D129" s="1278" t="s">
        <v>335</v>
      </c>
      <c r="E129" s="1282"/>
      <c r="F129" s="1282"/>
      <c r="G129" s="1282"/>
      <c r="H129" s="1282"/>
      <c r="I129" s="1282"/>
      <c r="J129" s="1282"/>
      <c r="K129" s="1282"/>
      <c r="L129" s="1282"/>
      <c r="M129" s="1282"/>
      <c r="N129" s="1282"/>
      <c r="O129" s="1283"/>
    </row>
    <row r="130" spans="1:15" s="920" customFormat="1" ht="15">
      <c r="A130" s="1274"/>
      <c r="B130" s="1275"/>
      <c r="C130" s="1279"/>
      <c r="D130" s="1284" t="s">
        <v>119</v>
      </c>
      <c r="E130" s="1266" t="s">
        <v>120</v>
      </c>
      <c r="F130" s="1267"/>
      <c r="G130" s="1268"/>
      <c r="H130" s="1262" t="s">
        <v>121</v>
      </c>
      <c r="I130" s="1262" t="s">
        <v>122</v>
      </c>
      <c r="J130" s="1262" t="s">
        <v>198</v>
      </c>
      <c r="K130" s="1262" t="s">
        <v>124</v>
      </c>
      <c r="L130" s="1262" t="s">
        <v>125</v>
      </c>
      <c r="M130" s="1262" t="s">
        <v>126</v>
      </c>
      <c r="N130" s="1262" t="s">
        <v>183</v>
      </c>
      <c r="O130" s="1262" t="s">
        <v>127</v>
      </c>
    </row>
    <row r="131" spans="1:15" s="920" customFormat="1" ht="15">
      <c r="A131" s="1274"/>
      <c r="B131" s="1275"/>
      <c r="C131" s="1279"/>
      <c r="D131" s="1284"/>
      <c r="E131" s="1271" t="s">
        <v>36</v>
      </c>
      <c r="F131" s="1264" t="s">
        <v>7</v>
      </c>
      <c r="G131" s="1265"/>
      <c r="H131" s="1262"/>
      <c r="I131" s="1262"/>
      <c r="J131" s="1262"/>
      <c r="K131" s="1262"/>
      <c r="L131" s="1262"/>
      <c r="M131" s="1262"/>
      <c r="N131" s="1262"/>
      <c r="O131" s="1262"/>
    </row>
    <row r="132" spans="1:15" s="920" customFormat="1" ht="12.75" customHeight="1">
      <c r="A132" s="1276"/>
      <c r="B132" s="1277"/>
      <c r="C132" s="1279"/>
      <c r="D132" s="1285"/>
      <c r="E132" s="1263"/>
      <c r="F132" s="557" t="s">
        <v>199</v>
      </c>
      <c r="G132" s="558" t="s">
        <v>200</v>
      </c>
      <c r="H132" s="1263"/>
      <c r="I132" s="1263"/>
      <c r="J132" s="1263"/>
      <c r="K132" s="1263"/>
      <c r="L132" s="1263"/>
      <c r="M132" s="1263"/>
      <c r="N132" s="1263"/>
      <c r="O132" s="1263"/>
    </row>
    <row r="133" spans="1:15" s="920" customFormat="1" ht="15">
      <c r="A133" s="1323" t="s">
        <v>39</v>
      </c>
      <c r="B133" s="1324"/>
      <c r="C133" s="930">
        <v>1</v>
      </c>
      <c r="D133" s="930">
        <v>2</v>
      </c>
      <c r="E133" s="930">
        <v>3</v>
      </c>
      <c r="F133" s="930">
        <v>4</v>
      </c>
      <c r="G133" s="930">
        <v>5</v>
      </c>
      <c r="H133" s="930">
        <v>6</v>
      </c>
      <c r="I133" s="930">
        <v>7</v>
      </c>
      <c r="J133" s="930">
        <v>8</v>
      </c>
      <c r="K133" s="930">
        <v>9</v>
      </c>
      <c r="L133" s="930">
        <v>10</v>
      </c>
      <c r="M133" s="930">
        <v>11</v>
      </c>
      <c r="N133" s="930">
        <v>12</v>
      </c>
      <c r="O133" s="930">
        <v>13</v>
      </c>
    </row>
    <row r="134" spans="1:15" s="920" customFormat="1" ht="16.5" customHeight="1">
      <c r="A134" s="917" t="s">
        <v>0</v>
      </c>
      <c r="B134" s="918" t="s">
        <v>130</v>
      </c>
      <c r="C134" s="630">
        <f aca="true" t="shared" si="42" ref="C134:C147">SUM(D134,E134,H134:O134)</f>
        <v>12124763</v>
      </c>
      <c r="D134" s="638">
        <f>SUM(D135:D136)</f>
        <v>3340572</v>
      </c>
      <c r="E134" s="638">
        <f aca="true" t="shared" si="43" ref="E134:J134">SUM(E135:E136)</f>
        <v>1079652</v>
      </c>
      <c r="F134" s="638">
        <f t="shared" si="43"/>
        <v>0</v>
      </c>
      <c r="G134" s="638">
        <f t="shared" si="43"/>
        <v>1079652</v>
      </c>
      <c r="H134" s="638">
        <f t="shared" si="43"/>
        <v>0</v>
      </c>
      <c r="I134" s="638">
        <f t="shared" si="43"/>
        <v>249251</v>
      </c>
      <c r="J134" s="638">
        <f t="shared" si="43"/>
        <v>7455288</v>
      </c>
      <c r="K134" s="638">
        <f>SUM(K135:K136)</f>
        <v>0</v>
      </c>
      <c r="L134" s="638">
        <f>SUM(L135:L136)</f>
        <v>0</v>
      </c>
      <c r="M134" s="638">
        <f>SUM(M135:M136)</f>
        <v>0</v>
      </c>
      <c r="N134" s="638">
        <f>SUM(N135:N136)</f>
        <v>0</v>
      </c>
      <c r="O134" s="638">
        <f>SUM(O135:O136)</f>
        <v>0</v>
      </c>
    </row>
    <row r="135" spans="1:15" s="920" customFormat="1" ht="15">
      <c r="A135" s="921">
        <v>1</v>
      </c>
      <c r="B135" s="922" t="s">
        <v>131</v>
      </c>
      <c r="C135" s="635">
        <f t="shared" si="42"/>
        <v>10214262</v>
      </c>
      <c r="D135" s="939">
        <v>1837349</v>
      </c>
      <c r="E135" s="640">
        <f aca="true" t="shared" si="44" ref="E135:E140">SUM(F135:G135)</f>
        <v>786652</v>
      </c>
      <c r="F135" s="939"/>
      <c r="G135" s="939">
        <v>786652</v>
      </c>
      <c r="H135" s="939"/>
      <c r="I135" s="939">
        <v>134973</v>
      </c>
      <c r="J135" s="939">
        <v>7455288</v>
      </c>
      <c r="K135" s="939"/>
      <c r="L135" s="939"/>
      <c r="M135" s="939"/>
      <c r="N135" s="939"/>
      <c r="O135" s="939"/>
    </row>
    <row r="136" spans="1:15" s="920" customFormat="1" ht="0.75" customHeight="1">
      <c r="A136" s="921">
        <v>2</v>
      </c>
      <c r="B136" s="922" t="s">
        <v>132</v>
      </c>
      <c r="C136" s="635">
        <f t="shared" si="42"/>
        <v>1910501</v>
      </c>
      <c r="D136" s="939">
        <v>1503223</v>
      </c>
      <c r="E136" s="640">
        <f t="shared" si="44"/>
        <v>293000</v>
      </c>
      <c r="F136" s="939"/>
      <c r="G136" s="939">
        <v>293000</v>
      </c>
      <c r="H136" s="939"/>
      <c r="I136" s="939">
        <v>114278</v>
      </c>
      <c r="J136" s="939"/>
      <c r="K136" s="939"/>
      <c r="L136" s="939"/>
      <c r="M136" s="939"/>
      <c r="N136" s="939"/>
      <c r="O136" s="939"/>
    </row>
    <row r="137" spans="1:15" s="920" customFormat="1" ht="15">
      <c r="A137" s="20" t="s">
        <v>1</v>
      </c>
      <c r="B137" s="923" t="s">
        <v>133</v>
      </c>
      <c r="C137" s="635">
        <f t="shared" si="42"/>
        <v>7455288</v>
      </c>
      <c r="D137" s="932"/>
      <c r="E137" s="640">
        <f t="shared" si="44"/>
        <v>0</v>
      </c>
      <c r="F137" s="932"/>
      <c r="G137" s="932"/>
      <c r="H137" s="932"/>
      <c r="I137" s="932"/>
      <c r="J137" s="932">
        <v>7455288</v>
      </c>
      <c r="K137" s="932"/>
      <c r="L137" s="932"/>
      <c r="M137" s="932"/>
      <c r="N137" s="932"/>
      <c r="O137" s="932"/>
    </row>
    <row r="138" spans="1:15" s="920" customFormat="1" ht="15">
      <c r="A138" s="20" t="s">
        <v>9</v>
      </c>
      <c r="B138" s="923" t="s">
        <v>134</v>
      </c>
      <c r="C138" s="635">
        <f t="shared" si="42"/>
        <v>0</v>
      </c>
      <c r="D138" s="934"/>
      <c r="E138" s="640">
        <f t="shared" si="44"/>
        <v>0</v>
      </c>
      <c r="F138" s="932"/>
      <c r="G138" s="932"/>
      <c r="H138" s="932"/>
      <c r="I138" s="932"/>
      <c r="J138" s="932"/>
      <c r="K138" s="932"/>
      <c r="L138" s="932"/>
      <c r="M138" s="932"/>
      <c r="N138" s="932"/>
      <c r="O138" s="932"/>
    </row>
    <row r="139" spans="1:15" s="920" customFormat="1" ht="14.25">
      <c r="A139" s="20" t="s">
        <v>135</v>
      </c>
      <c r="B139" s="923" t="s">
        <v>136</v>
      </c>
      <c r="C139" s="630">
        <f t="shared" si="42"/>
        <v>4669475</v>
      </c>
      <c r="D139" s="631">
        <f>D134-SUM(D137,D138)</f>
        <v>3340572</v>
      </c>
      <c r="E139" s="638">
        <f t="shared" si="44"/>
        <v>1079652</v>
      </c>
      <c r="F139" s="631">
        <f aca="true" t="shared" si="45" ref="F139:O139">F134-SUM(F137,F138)</f>
        <v>0</v>
      </c>
      <c r="G139" s="631">
        <f t="shared" si="45"/>
        <v>1079652</v>
      </c>
      <c r="H139" s="631">
        <f t="shared" si="45"/>
        <v>0</v>
      </c>
      <c r="I139" s="631">
        <f t="shared" si="45"/>
        <v>249251</v>
      </c>
      <c r="J139" s="631">
        <f t="shared" si="45"/>
        <v>0</v>
      </c>
      <c r="K139" s="631">
        <f t="shared" si="45"/>
        <v>0</v>
      </c>
      <c r="L139" s="631">
        <f t="shared" si="45"/>
        <v>0</v>
      </c>
      <c r="M139" s="631">
        <f t="shared" si="45"/>
        <v>0</v>
      </c>
      <c r="N139" s="631">
        <f t="shared" si="45"/>
        <v>0</v>
      </c>
      <c r="O139" s="631">
        <f t="shared" si="45"/>
        <v>0</v>
      </c>
    </row>
    <row r="140" spans="1:15" s="920" customFormat="1" ht="14.25">
      <c r="A140" s="20" t="s">
        <v>51</v>
      </c>
      <c r="B140" s="924" t="s">
        <v>137</v>
      </c>
      <c r="C140" s="630">
        <f t="shared" si="42"/>
        <v>1460986</v>
      </c>
      <c r="D140" s="639">
        <f>SUM(D141:D147)</f>
        <v>1322385</v>
      </c>
      <c r="E140" s="638">
        <f t="shared" si="44"/>
        <v>0</v>
      </c>
      <c r="F140" s="639">
        <f aca="true" t="shared" si="46" ref="F140:O140">SUM(F141:F147)</f>
        <v>0</v>
      </c>
      <c r="G140" s="639">
        <f t="shared" si="46"/>
        <v>0</v>
      </c>
      <c r="H140" s="639">
        <f t="shared" si="46"/>
        <v>0</v>
      </c>
      <c r="I140" s="639">
        <f t="shared" si="46"/>
        <v>138601</v>
      </c>
      <c r="J140" s="639">
        <f t="shared" si="46"/>
        <v>0</v>
      </c>
      <c r="K140" s="639">
        <f t="shared" si="46"/>
        <v>0</v>
      </c>
      <c r="L140" s="639">
        <f t="shared" si="46"/>
        <v>0</v>
      </c>
      <c r="M140" s="639">
        <f t="shared" si="46"/>
        <v>0</v>
      </c>
      <c r="N140" s="639">
        <f t="shared" si="46"/>
        <v>0</v>
      </c>
      <c r="O140" s="639">
        <f t="shared" si="46"/>
        <v>0</v>
      </c>
    </row>
    <row r="141" spans="1:15" s="920" customFormat="1" ht="15">
      <c r="A141" s="921" t="s">
        <v>53</v>
      </c>
      <c r="B141" s="922" t="s">
        <v>138</v>
      </c>
      <c r="C141" s="635">
        <f t="shared" si="42"/>
        <v>195172</v>
      </c>
      <c r="D141" s="936">
        <v>157172</v>
      </c>
      <c r="E141" s="935">
        <f>F141+G141</f>
        <v>0</v>
      </c>
      <c r="F141" s="936"/>
      <c r="G141" s="936"/>
      <c r="H141" s="936"/>
      <c r="I141" s="936">
        <v>38000</v>
      </c>
      <c r="J141" s="936"/>
      <c r="K141" s="936"/>
      <c r="L141" s="936"/>
      <c r="M141" s="936"/>
      <c r="N141" s="932"/>
      <c r="O141" s="932"/>
    </row>
    <row r="142" spans="1:15" s="920" customFormat="1" ht="15">
      <c r="A142" s="921" t="s">
        <v>54</v>
      </c>
      <c r="B142" s="922" t="s">
        <v>139</v>
      </c>
      <c r="C142" s="635">
        <f t="shared" si="42"/>
        <v>28781</v>
      </c>
      <c r="D142" s="936">
        <v>28781</v>
      </c>
      <c r="E142" s="935">
        <f>F142+G142</f>
        <v>0</v>
      </c>
      <c r="F142" s="936"/>
      <c r="G142" s="936"/>
      <c r="H142" s="936"/>
      <c r="I142" s="936"/>
      <c r="J142" s="936"/>
      <c r="K142" s="936"/>
      <c r="L142" s="936"/>
      <c r="M142" s="936"/>
      <c r="N142" s="932"/>
      <c r="O142" s="932"/>
    </row>
    <row r="143" spans="1:15" s="920" customFormat="1" ht="18" customHeight="1">
      <c r="A143" s="921" t="s">
        <v>140</v>
      </c>
      <c r="B143" s="922" t="s">
        <v>141</v>
      </c>
      <c r="C143" s="635">
        <f t="shared" si="42"/>
        <v>951833</v>
      </c>
      <c r="D143" s="936">
        <v>851232</v>
      </c>
      <c r="E143" s="935">
        <f>F143+G143</f>
        <v>0</v>
      </c>
      <c r="F143" s="936"/>
      <c r="G143" s="936">
        <v>0</v>
      </c>
      <c r="H143" s="936"/>
      <c r="I143" s="936">
        <v>100601</v>
      </c>
      <c r="J143" s="936"/>
      <c r="K143" s="936"/>
      <c r="L143" s="936"/>
      <c r="M143" s="936"/>
      <c r="N143" s="932"/>
      <c r="O143" s="932">
        <v>0</v>
      </c>
    </row>
    <row r="144" spans="1:15" s="920" customFormat="1" ht="15">
      <c r="A144" s="921" t="s">
        <v>142</v>
      </c>
      <c r="B144" s="922" t="s">
        <v>143</v>
      </c>
      <c r="C144" s="635">
        <f t="shared" si="42"/>
        <v>285200</v>
      </c>
      <c r="D144" s="936">
        <v>285200</v>
      </c>
      <c r="E144" s="935">
        <f>F144+G144</f>
        <v>0</v>
      </c>
      <c r="F144" s="936"/>
      <c r="G144" s="936"/>
      <c r="H144" s="936"/>
      <c r="I144" s="936"/>
      <c r="J144" s="936"/>
      <c r="K144" s="936"/>
      <c r="L144" s="936"/>
      <c r="M144" s="936"/>
      <c r="N144" s="936"/>
      <c r="O144" s="936"/>
    </row>
    <row r="145" spans="1:15" s="920" customFormat="1" ht="15">
      <c r="A145" s="921" t="s">
        <v>144</v>
      </c>
      <c r="B145" s="922" t="s">
        <v>145</v>
      </c>
      <c r="C145" s="635">
        <f t="shared" si="42"/>
        <v>0</v>
      </c>
      <c r="D145" s="936"/>
      <c r="E145" s="935">
        <f>F145+G145</f>
        <v>0</v>
      </c>
      <c r="F145" s="940"/>
      <c r="G145" s="940"/>
      <c r="H145" s="940"/>
      <c r="I145" s="940"/>
      <c r="J145" s="940"/>
      <c r="K145" s="940"/>
      <c r="L145" s="936"/>
      <c r="M145" s="936"/>
      <c r="N145" s="936"/>
      <c r="O145" s="936"/>
    </row>
    <row r="146" spans="1:15" s="920" customFormat="1" ht="30">
      <c r="A146" s="921" t="s">
        <v>146</v>
      </c>
      <c r="B146" s="925" t="s">
        <v>147</v>
      </c>
      <c r="C146" s="635">
        <f t="shared" si="42"/>
        <v>0</v>
      </c>
      <c r="D146" s="936"/>
      <c r="E146" s="640">
        <f>SUM(F146:G146)</f>
        <v>0</v>
      </c>
      <c r="F146" s="936"/>
      <c r="G146" s="936"/>
      <c r="H146" s="936"/>
      <c r="I146" s="936"/>
      <c r="J146" s="936"/>
      <c r="K146" s="936"/>
      <c r="L146" s="936"/>
      <c r="M146" s="936"/>
      <c r="N146" s="936"/>
      <c r="O146" s="936"/>
    </row>
    <row r="147" spans="1:15" s="920" customFormat="1" ht="15">
      <c r="A147" s="921" t="s">
        <v>148</v>
      </c>
      <c r="B147" s="922" t="s">
        <v>149</v>
      </c>
      <c r="C147" s="635">
        <f t="shared" si="42"/>
        <v>0</v>
      </c>
      <c r="D147" s="936"/>
      <c r="E147" s="640">
        <f>SUM(F147:G147)</f>
        <v>0</v>
      </c>
      <c r="F147" s="936"/>
      <c r="G147" s="936"/>
      <c r="H147" s="936"/>
      <c r="I147" s="936"/>
      <c r="J147" s="936"/>
      <c r="K147" s="936"/>
      <c r="L147" s="936"/>
      <c r="M147" s="936"/>
      <c r="N147" s="932"/>
      <c r="O147" s="932"/>
    </row>
    <row r="148" spans="1:15" s="920" customFormat="1" ht="14.25">
      <c r="A148" s="20" t="s">
        <v>52</v>
      </c>
      <c r="B148" s="923" t="s">
        <v>150</v>
      </c>
      <c r="C148" s="646">
        <f>C134-C137-C138-C140</f>
        <v>3208489</v>
      </c>
      <c r="D148" s="646">
        <f>D139-D140</f>
        <v>2018187</v>
      </c>
      <c r="E148" s="646">
        <f aca="true" t="shared" si="47" ref="E148:O148">E139-E140</f>
        <v>1079652</v>
      </c>
      <c r="F148" s="646">
        <f t="shared" si="47"/>
        <v>0</v>
      </c>
      <c r="G148" s="646">
        <f t="shared" si="47"/>
        <v>1079652</v>
      </c>
      <c r="H148" s="646">
        <f t="shared" si="47"/>
        <v>0</v>
      </c>
      <c r="I148" s="646">
        <f t="shared" si="47"/>
        <v>110650</v>
      </c>
      <c r="J148" s="646">
        <f t="shared" si="47"/>
        <v>0</v>
      </c>
      <c r="K148" s="646">
        <f t="shared" si="47"/>
        <v>0</v>
      </c>
      <c r="L148" s="646">
        <f t="shared" si="47"/>
        <v>0</v>
      </c>
      <c r="M148" s="646">
        <f t="shared" si="47"/>
        <v>0</v>
      </c>
      <c r="N148" s="646">
        <f t="shared" si="47"/>
        <v>0</v>
      </c>
      <c r="O148" s="646">
        <f t="shared" si="47"/>
        <v>0</v>
      </c>
    </row>
    <row r="149" spans="1:15" s="920" customFormat="1" ht="30">
      <c r="A149" s="926" t="s">
        <v>538</v>
      </c>
      <c r="B149" s="927" t="s">
        <v>731</v>
      </c>
      <c r="C149" s="530">
        <f>(C141+C142)/C140</f>
        <v>0.15328894322053738</v>
      </c>
      <c r="D149" s="531">
        <f aca="true" t="shared" si="48" ref="D149:O149">(D141+D142)/D140</f>
        <v>0.14061941113972104</v>
      </c>
      <c r="E149" s="530" t="e">
        <f t="shared" si="48"/>
        <v>#DIV/0!</v>
      </c>
      <c r="F149" s="531" t="e">
        <f t="shared" si="48"/>
        <v>#DIV/0!</v>
      </c>
      <c r="G149" s="531" t="e">
        <f t="shared" si="48"/>
        <v>#DIV/0!</v>
      </c>
      <c r="H149" s="531" t="e">
        <f t="shared" si="48"/>
        <v>#DIV/0!</v>
      </c>
      <c r="I149" s="531">
        <f t="shared" si="48"/>
        <v>0.2741682960440401</v>
      </c>
      <c r="J149" s="531" t="e">
        <f t="shared" si="48"/>
        <v>#DIV/0!</v>
      </c>
      <c r="K149" s="531" t="e">
        <f t="shared" si="48"/>
        <v>#DIV/0!</v>
      </c>
      <c r="L149" s="531" t="e">
        <f t="shared" si="48"/>
        <v>#DIV/0!</v>
      </c>
      <c r="M149" s="531" t="e">
        <f t="shared" si="48"/>
        <v>#DIV/0!</v>
      </c>
      <c r="N149" s="531" t="e">
        <f t="shared" si="48"/>
        <v>#DIV/0!</v>
      </c>
      <c r="O149" s="531" t="e">
        <f t="shared" si="48"/>
        <v>#DIV/0!</v>
      </c>
    </row>
    <row r="150" s="920" customFormat="1" ht="14.25">
      <c r="A150" s="928"/>
    </row>
    <row r="151" spans="1:2" s="920" customFormat="1" ht="14.25">
      <c r="A151" s="928"/>
      <c r="B151" s="929" t="s">
        <v>705</v>
      </c>
    </row>
    <row r="152" spans="1:15" s="920" customFormat="1" ht="14.25">
      <c r="A152" s="1272" t="s">
        <v>68</v>
      </c>
      <c r="B152" s="1273"/>
      <c r="C152" s="1278" t="s">
        <v>37</v>
      </c>
      <c r="D152" s="1278" t="s">
        <v>335</v>
      </c>
      <c r="E152" s="1282"/>
      <c r="F152" s="1282"/>
      <c r="G152" s="1282"/>
      <c r="H152" s="1282"/>
      <c r="I152" s="1282"/>
      <c r="J152" s="1282"/>
      <c r="K152" s="1282"/>
      <c r="L152" s="1282"/>
      <c r="M152" s="1282"/>
      <c r="N152" s="1282"/>
      <c r="O152" s="1283"/>
    </row>
    <row r="153" spans="1:15" s="920" customFormat="1" ht="15">
      <c r="A153" s="1274"/>
      <c r="B153" s="1275"/>
      <c r="C153" s="1279"/>
      <c r="D153" s="1284" t="s">
        <v>119</v>
      </c>
      <c r="E153" s="1266" t="s">
        <v>120</v>
      </c>
      <c r="F153" s="1267"/>
      <c r="G153" s="1268"/>
      <c r="H153" s="1262" t="s">
        <v>121</v>
      </c>
      <c r="I153" s="1262" t="s">
        <v>122</v>
      </c>
      <c r="J153" s="1262" t="s">
        <v>198</v>
      </c>
      <c r="K153" s="1262" t="s">
        <v>124</v>
      </c>
      <c r="L153" s="1262" t="s">
        <v>125</v>
      </c>
      <c r="M153" s="1262" t="s">
        <v>126</v>
      </c>
      <c r="N153" s="1262" t="s">
        <v>183</v>
      </c>
      <c r="O153" s="1262" t="s">
        <v>127</v>
      </c>
    </row>
    <row r="154" spans="1:15" s="920" customFormat="1" ht="15.75" customHeight="1">
      <c r="A154" s="1274"/>
      <c r="B154" s="1275"/>
      <c r="C154" s="1279"/>
      <c r="D154" s="1284"/>
      <c r="E154" s="1271" t="s">
        <v>36</v>
      </c>
      <c r="F154" s="1264" t="s">
        <v>7</v>
      </c>
      <c r="G154" s="1265"/>
      <c r="H154" s="1262"/>
      <c r="I154" s="1262"/>
      <c r="J154" s="1262"/>
      <c r="K154" s="1262"/>
      <c r="L154" s="1262"/>
      <c r="M154" s="1262"/>
      <c r="N154" s="1262"/>
      <c r="O154" s="1262"/>
    </row>
    <row r="155" spans="1:15" s="920" customFormat="1" ht="19.5" customHeight="1">
      <c r="A155" s="1276"/>
      <c r="B155" s="1277"/>
      <c r="C155" s="1279"/>
      <c r="D155" s="1285"/>
      <c r="E155" s="1263"/>
      <c r="F155" s="557" t="s">
        <v>199</v>
      </c>
      <c r="G155" s="558" t="s">
        <v>200</v>
      </c>
      <c r="H155" s="1263"/>
      <c r="I155" s="1263"/>
      <c r="J155" s="1263"/>
      <c r="K155" s="1263"/>
      <c r="L155" s="1263"/>
      <c r="M155" s="1263"/>
      <c r="N155" s="1263"/>
      <c r="O155" s="1263"/>
    </row>
    <row r="156" spans="1:15" s="920" customFormat="1" ht="18.75" customHeight="1">
      <c r="A156" s="1323" t="s">
        <v>39</v>
      </c>
      <c r="B156" s="1324"/>
      <c r="C156" s="930">
        <v>1</v>
      </c>
      <c r="D156" s="930">
        <v>2</v>
      </c>
      <c r="E156" s="930">
        <v>3</v>
      </c>
      <c r="F156" s="930">
        <v>4</v>
      </c>
      <c r="G156" s="930">
        <v>5</v>
      </c>
      <c r="H156" s="930">
        <v>6</v>
      </c>
      <c r="I156" s="930">
        <v>7</v>
      </c>
      <c r="J156" s="930">
        <v>8</v>
      </c>
      <c r="K156" s="930">
        <v>9</v>
      </c>
      <c r="L156" s="930">
        <v>10</v>
      </c>
      <c r="M156" s="930">
        <v>11</v>
      </c>
      <c r="N156" s="930">
        <v>12</v>
      </c>
      <c r="O156" s="930">
        <v>13</v>
      </c>
    </row>
    <row r="157" spans="1:15" s="920" customFormat="1" ht="14.25">
      <c r="A157" s="917" t="s">
        <v>0</v>
      </c>
      <c r="B157" s="918" t="s">
        <v>130</v>
      </c>
      <c r="C157" s="630">
        <f aca="true" t="shared" si="49" ref="C157:C170">SUM(D157,E157,H157:O157)</f>
        <v>4739535</v>
      </c>
      <c r="D157" s="638">
        <f>SUM(D158:D159)</f>
        <v>3592406</v>
      </c>
      <c r="E157" s="638">
        <f aca="true" t="shared" si="50" ref="E157:J157">SUM(E158:E159)</f>
        <v>706344</v>
      </c>
      <c r="F157" s="638">
        <f t="shared" si="50"/>
        <v>0</v>
      </c>
      <c r="G157" s="638">
        <f t="shared" si="50"/>
        <v>706344</v>
      </c>
      <c r="H157" s="638">
        <f t="shared" si="50"/>
        <v>0</v>
      </c>
      <c r="I157" s="638">
        <f t="shared" si="50"/>
        <v>232898</v>
      </c>
      <c r="J157" s="638">
        <f t="shared" si="50"/>
        <v>207887</v>
      </c>
      <c r="K157" s="638">
        <f>SUM(K158:K159)</f>
        <v>0</v>
      </c>
      <c r="L157" s="638">
        <f>SUM(L158:L159)</f>
        <v>0</v>
      </c>
      <c r="M157" s="638">
        <f>SUM(M158:M159)</f>
        <v>0</v>
      </c>
      <c r="N157" s="638">
        <f>SUM(N158:N159)</f>
        <v>0</v>
      </c>
      <c r="O157" s="638">
        <f>SUM(O158:O159)</f>
        <v>0</v>
      </c>
    </row>
    <row r="158" spans="1:15" s="920" customFormat="1" ht="15">
      <c r="A158" s="921">
        <v>1</v>
      </c>
      <c r="B158" s="922" t="s">
        <v>131</v>
      </c>
      <c r="C158" s="635">
        <f t="shared" si="49"/>
        <v>3739642</v>
      </c>
      <c r="D158" s="645">
        <f>34000+349539+1596823+699201</f>
        <v>2679563</v>
      </c>
      <c r="E158" s="640">
        <f aca="true" t="shared" si="51" ref="E158:E168">SUM(F158:G158)</f>
        <v>703905</v>
      </c>
      <c r="F158" s="645">
        <f>0+0+0</f>
        <v>0</v>
      </c>
      <c r="G158" s="645">
        <f>212253+178240+102502+210910</f>
        <v>703905</v>
      </c>
      <c r="H158" s="645"/>
      <c r="I158" s="645">
        <f>12965+51600+40302+43420</f>
        <v>148287</v>
      </c>
      <c r="J158" s="645">
        <v>207887</v>
      </c>
      <c r="K158" s="645"/>
      <c r="L158" s="645"/>
      <c r="M158" s="645"/>
      <c r="N158" s="645"/>
      <c r="O158" s="645"/>
    </row>
    <row r="159" spans="1:15" s="920" customFormat="1" ht="15">
      <c r="A159" s="921">
        <v>2</v>
      </c>
      <c r="B159" s="922" t="s">
        <v>132</v>
      </c>
      <c r="C159" s="635">
        <f t="shared" si="49"/>
        <v>999893</v>
      </c>
      <c r="D159" s="642">
        <f>0+30750+311904+570189</f>
        <v>912843</v>
      </c>
      <c r="E159" s="640">
        <f t="shared" si="51"/>
        <v>2439</v>
      </c>
      <c r="F159" s="642"/>
      <c r="G159" s="642">
        <v>2439</v>
      </c>
      <c r="H159" s="642"/>
      <c r="I159" s="642">
        <f>0+27200+33400+24011</f>
        <v>84611</v>
      </c>
      <c r="J159" s="642"/>
      <c r="K159" s="642"/>
      <c r="L159" s="642"/>
      <c r="M159" s="642"/>
      <c r="N159" s="642"/>
      <c r="O159" s="642"/>
    </row>
    <row r="160" spans="1:15" s="920" customFormat="1" ht="15">
      <c r="A160" s="20" t="s">
        <v>1</v>
      </c>
      <c r="B160" s="923" t="s">
        <v>133</v>
      </c>
      <c r="C160" s="635">
        <f t="shared" si="49"/>
        <v>0</v>
      </c>
      <c r="D160" s="731"/>
      <c r="E160" s="640">
        <f t="shared" si="51"/>
        <v>0</v>
      </c>
      <c r="F160" s="731"/>
      <c r="G160" s="731"/>
      <c r="H160" s="731"/>
      <c r="I160" s="731"/>
      <c r="J160" s="731"/>
      <c r="K160" s="731"/>
      <c r="L160" s="731"/>
      <c r="M160" s="731"/>
      <c r="N160" s="731"/>
      <c r="O160" s="642"/>
    </row>
    <row r="161" spans="1:15" s="920" customFormat="1" ht="15">
      <c r="A161" s="20" t="s">
        <v>9</v>
      </c>
      <c r="B161" s="923" t="s">
        <v>134</v>
      </c>
      <c r="C161" s="635">
        <f t="shared" si="49"/>
        <v>0</v>
      </c>
      <c r="D161" s="642"/>
      <c r="E161" s="640">
        <f t="shared" si="51"/>
        <v>0</v>
      </c>
      <c r="F161" s="642"/>
      <c r="G161" s="642"/>
      <c r="H161" s="642"/>
      <c r="I161" s="642"/>
      <c r="J161" s="642"/>
      <c r="K161" s="642"/>
      <c r="L161" s="642"/>
      <c r="M161" s="642"/>
      <c r="N161" s="642"/>
      <c r="O161" s="642"/>
    </row>
    <row r="162" spans="1:15" s="920" customFormat="1" ht="14.25">
      <c r="A162" s="20" t="s">
        <v>135</v>
      </c>
      <c r="B162" s="923" t="s">
        <v>136</v>
      </c>
      <c r="C162" s="630">
        <f t="shared" si="49"/>
        <v>4739535</v>
      </c>
      <c r="D162" s="631">
        <f>D157-SUM(D160,D161)</f>
        <v>3592406</v>
      </c>
      <c r="E162" s="638">
        <f t="shared" si="51"/>
        <v>706344</v>
      </c>
      <c r="F162" s="631"/>
      <c r="G162" s="631">
        <f aca="true" t="shared" si="52" ref="G162:O162">G157-SUM(G160,G161)</f>
        <v>706344</v>
      </c>
      <c r="H162" s="631">
        <f t="shared" si="52"/>
        <v>0</v>
      </c>
      <c r="I162" s="631">
        <f t="shared" si="52"/>
        <v>232898</v>
      </c>
      <c r="J162" s="631">
        <f t="shared" si="52"/>
        <v>207887</v>
      </c>
      <c r="K162" s="631">
        <f t="shared" si="52"/>
        <v>0</v>
      </c>
      <c r="L162" s="631">
        <f t="shared" si="52"/>
        <v>0</v>
      </c>
      <c r="M162" s="631">
        <f t="shared" si="52"/>
        <v>0</v>
      </c>
      <c r="N162" s="631">
        <f t="shared" si="52"/>
        <v>0</v>
      </c>
      <c r="O162" s="631">
        <f t="shared" si="52"/>
        <v>0</v>
      </c>
    </row>
    <row r="163" spans="1:15" s="920" customFormat="1" ht="14.25">
      <c r="A163" s="20" t="s">
        <v>51</v>
      </c>
      <c r="B163" s="924" t="s">
        <v>137</v>
      </c>
      <c r="C163" s="630">
        <f t="shared" si="49"/>
        <v>2473052</v>
      </c>
      <c r="D163" s="639">
        <f>SUM(D164:D170)</f>
        <v>2244003</v>
      </c>
      <c r="E163" s="638">
        <f t="shared" si="51"/>
        <v>144736</v>
      </c>
      <c r="F163" s="631"/>
      <c r="G163" s="639">
        <f aca="true" t="shared" si="53" ref="G163:O163">SUM(G164:G170)</f>
        <v>144736</v>
      </c>
      <c r="H163" s="639">
        <f t="shared" si="53"/>
        <v>0</v>
      </c>
      <c r="I163" s="639">
        <f t="shared" si="53"/>
        <v>84313</v>
      </c>
      <c r="J163" s="639">
        <f t="shared" si="53"/>
        <v>0</v>
      </c>
      <c r="K163" s="639">
        <f t="shared" si="53"/>
        <v>0</v>
      </c>
      <c r="L163" s="639">
        <f t="shared" si="53"/>
        <v>0</v>
      </c>
      <c r="M163" s="639">
        <f t="shared" si="53"/>
        <v>0</v>
      </c>
      <c r="N163" s="639">
        <f t="shared" si="53"/>
        <v>0</v>
      </c>
      <c r="O163" s="639">
        <f t="shared" si="53"/>
        <v>0</v>
      </c>
    </row>
    <row r="164" spans="1:15" s="920" customFormat="1" ht="15">
      <c r="A164" s="921" t="s">
        <v>53</v>
      </c>
      <c r="B164" s="922" t="s">
        <v>138</v>
      </c>
      <c r="C164" s="635">
        <f t="shared" si="49"/>
        <v>561019</v>
      </c>
      <c r="D164" s="641">
        <f>0+0+288152+211517</f>
        <v>499669</v>
      </c>
      <c r="E164" s="640">
        <f t="shared" si="51"/>
        <v>38439</v>
      </c>
      <c r="F164" s="641"/>
      <c r="G164" s="641">
        <f>0+23000+12000+3439</f>
        <v>38439</v>
      </c>
      <c r="H164" s="641"/>
      <c r="I164" s="641">
        <f>0+4700+17800+411</f>
        <v>22911</v>
      </c>
      <c r="J164" s="641"/>
      <c r="K164" s="641"/>
      <c r="L164" s="641"/>
      <c r="M164" s="641"/>
      <c r="N164" s="641"/>
      <c r="O164" s="641"/>
    </row>
    <row r="165" spans="1:15" s="920" customFormat="1" ht="10.5" customHeight="1">
      <c r="A165" s="921" t="s">
        <v>54</v>
      </c>
      <c r="B165" s="922" t="s">
        <v>139</v>
      </c>
      <c r="C165" s="635">
        <f t="shared" si="49"/>
        <v>85962</v>
      </c>
      <c r="D165" s="642">
        <f>84160+776</f>
        <v>84936</v>
      </c>
      <c r="E165" s="640">
        <f t="shared" si="51"/>
        <v>1026</v>
      </c>
      <c r="F165" s="642"/>
      <c r="G165" s="642">
        <v>1026</v>
      </c>
      <c r="H165" s="642"/>
      <c r="I165" s="642"/>
      <c r="J165" s="642"/>
      <c r="K165" s="642"/>
      <c r="L165" s="642"/>
      <c r="M165" s="642"/>
      <c r="N165" s="642"/>
      <c r="O165" s="642"/>
    </row>
    <row r="166" spans="1:15" s="920" customFormat="1" ht="17.25" customHeight="1">
      <c r="A166" s="921" t="s">
        <v>140</v>
      </c>
      <c r="B166" s="922" t="s">
        <v>141</v>
      </c>
      <c r="C166" s="635">
        <f t="shared" si="49"/>
        <v>1826071</v>
      </c>
      <c r="D166" s="642">
        <f>0+354289+333012+972097</f>
        <v>1659398</v>
      </c>
      <c r="E166" s="640">
        <f t="shared" si="51"/>
        <v>105271</v>
      </c>
      <c r="F166" s="642"/>
      <c r="G166" s="642">
        <f>104152+0+1119+0</f>
        <v>105271</v>
      </c>
      <c r="H166" s="642"/>
      <c r="I166" s="642">
        <f>0+9000+28802+23600</f>
        <v>61402</v>
      </c>
      <c r="J166" s="642"/>
      <c r="K166" s="642"/>
      <c r="L166" s="642"/>
      <c r="M166" s="642"/>
      <c r="N166" s="642"/>
      <c r="O166" s="642"/>
    </row>
    <row r="167" spans="1:15" s="920" customFormat="1" ht="15">
      <c r="A167" s="921" t="s">
        <v>142</v>
      </c>
      <c r="B167" s="922" t="s">
        <v>143</v>
      </c>
      <c r="C167" s="635">
        <f t="shared" si="49"/>
        <v>0</v>
      </c>
      <c r="D167" s="642">
        <v>0</v>
      </c>
      <c r="E167" s="640">
        <f t="shared" si="51"/>
        <v>0</v>
      </c>
      <c r="F167" s="642"/>
      <c r="G167" s="642"/>
      <c r="H167" s="642"/>
      <c r="I167" s="642"/>
      <c r="J167" s="642"/>
      <c r="K167" s="642"/>
      <c r="L167" s="642"/>
      <c r="M167" s="642"/>
      <c r="N167" s="642"/>
      <c r="O167" s="642"/>
    </row>
    <row r="168" spans="1:15" s="920" customFormat="1" ht="15.75" customHeight="1">
      <c r="A168" s="921" t="s">
        <v>144</v>
      </c>
      <c r="B168" s="922" t="s">
        <v>145</v>
      </c>
      <c r="C168" s="635">
        <f t="shared" si="49"/>
        <v>0</v>
      </c>
      <c r="D168" s="642"/>
      <c r="E168" s="640">
        <f t="shared" si="51"/>
        <v>0</v>
      </c>
      <c r="F168" s="642"/>
      <c r="G168" s="642"/>
      <c r="H168" s="642"/>
      <c r="I168" s="642"/>
      <c r="J168" s="642"/>
      <c r="K168" s="642"/>
      <c r="L168" s="642"/>
      <c r="M168" s="642"/>
      <c r="N168" s="642"/>
      <c r="O168" s="642"/>
    </row>
    <row r="169" spans="1:15" s="920" customFormat="1" ht="30">
      <c r="A169" s="921" t="s">
        <v>146</v>
      </c>
      <c r="B169" s="925" t="s">
        <v>147</v>
      </c>
      <c r="C169" s="635">
        <f t="shared" si="49"/>
        <v>0</v>
      </c>
      <c r="D169" s="642"/>
      <c r="E169" s="640">
        <f>SUM(F169:G169)</f>
        <v>0</v>
      </c>
      <c r="F169" s="642"/>
      <c r="G169" s="642"/>
      <c r="H169" s="642"/>
      <c r="I169" s="642"/>
      <c r="J169" s="642"/>
      <c r="K169" s="642"/>
      <c r="L169" s="642"/>
      <c r="M169" s="642"/>
      <c r="N169" s="642"/>
      <c r="O169" s="642"/>
    </row>
    <row r="170" spans="1:15" s="920" customFormat="1" ht="15">
      <c r="A170" s="921" t="s">
        <v>148</v>
      </c>
      <c r="B170" s="922" t="s">
        <v>149</v>
      </c>
      <c r="C170" s="635">
        <f t="shared" si="49"/>
        <v>0</v>
      </c>
      <c r="D170" s="642">
        <v>0</v>
      </c>
      <c r="E170" s="640">
        <f>SUM(F170:G170)</f>
        <v>0</v>
      </c>
      <c r="F170" s="642">
        <f aca="true" t="shared" si="54" ref="F170:O170">0+0</f>
        <v>0</v>
      </c>
      <c r="G170" s="642">
        <f t="shared" si="54"/>
        <v>0</v>
      </c>
      <c r="H170" s="642">
        <f t="shared" si="54"/>
        <v>0</v>
      </c>
      <c r="I170" s="642">
        <f t="shared" si="54"/>
        <v>0</v>
      </c>
      <c r="J170" s="642">
        <f t="shared" si="54"/>
        <v>0</v>
      </c>
      <c r="K170" s="642">
        <f t="shared" si="54"/>
        <v>0</v>
      </c>
      <c r="L170" s="642">
        <f t="shared" si="54"/>
        <v>0</v>
      </c>
      <c r="M170" s="642">
        <f t="shared" si="54"/>
        <v>0</v>
      </c>
      <c r="N170" s="642">
        <f t="shared" si="54"/>
        <v>0</v>
      </c>
      <c r="O170" s="642">
        <f t="shared" si="54"/>
        <v>0</v>
      </c>
    </row>
    <row r="171" spans="1:15" s="920" customFormat="1" ht="14.25">
      <c r="A171" s="20" t="s">
        <v>52</v>
      </c>
      <c r="B171" s="923" t="s">
        <v>150</v>
      </c>
      <c r="C171" s="646">
        <f>C157-C160-C161-C163</f>
        <v>2266483</v>
      </c>
      <c r="D171" s="646">
        <f>D162-D163</f>
        <v>1348403</v>
      </c>
      <c r="E171" s="646">
        <f aca="true" t="shared" si="55" ref="E171:O171">E162-E163</f>
        <v>561608</v>
      </c>
      <c r="F171" s="646">
        <f t="shared" si="55"/>
        <v>0</v>
      </c>
      <c r="G171" s="646">
        <f t="shared" si="55"/>
        <v>561608</v>
      </c>
      <c r="H171" s="646">
        <f t="shared" si="55"/>
        <v>0</v>
      </c>
      <c r="I171" s="646">
        <f t="shared" si="55"/>
        <v>148585</v>
      </c>
      <c r="J171" s="646">
        <f t="shared" si="55"/>
        <v>207887</v>
      </c>
      <c r="K171" s="646">
        <f t="shared" si="55"/>
        <v>0</v>
      </c>
      <c r="L171" s="646">
        <f t="shared" si="55"/>
        <v>0</v>
      </c>
      <c r="M171" s="646">
        <f t="shared" si="55"/>
        <v>0</v>
      </c>
      <c r="N171" s="646">
        <f t="shared" si="55"/>
        <v>0</v>
      </c>
      <c r="O171" s="646">
        <f t="shared" si="55"/>
        <v>0</v>
      </c>
    </row>
    <row r="172" spans="1:15" s="920" customFormat="1" ht="30">
      <c r="A172" s="926" t="s">
        <v>538</v>
      </c>
      <c r="B172" s="927" t="s">
        <v>731</v>
      </c>
      <c r="C172" s="530">
        <f>(C164+C165)/C163</f>
        <v>0.26161237208113697</v>
      </c>
      <c r="D172" s="531">
        <f aca="true" t="shared" si="56" ref="D172:O172">(D164+D165)/D163</f>
        <v>0.2605188139231543</v>
      </c>
      <c r="E172" s="530">
        <f t="shared" si="56"/>
        <v>0.2726688591642715</v>
      </c>
      <c r="F172" s="531" t="e">
        <f t="shared" si="56"/>
        <v>#DIV/0!</v>
      </c>
      <c r="G172" s="531">
        <f t="shared" si="56"/>
        <v>0.2726688591642715</v>
      </c>
      <c r="H172" s="531" t="e">
        <f t="shared" si="56"/>
        <v>#DIV/0!</v>
      </c>
      <c r="I172" s="531">
        <f t="shared" si="56"/>
        <v>0.27173745448507347</v>
      </c>
      <c r="J172" s="531" t="e">
        <f t="shared" si="56"/>
        <v>#DIV/0!</v>
      </c>
      <c r="K172" s="531" t="e">
        <f t="shared" si="56"/>
        <v>#DIV/0!</v>
      </c>
      <c r="L172" s="531" t="e">
        <f t="shared" si="56"/>
        <v>#DIV/0!</v>
      </c>
      <c r="M172" s="531" t="e">
        <f t="shared" si="56"/>
        <v>#DIV/0!</v>
      </c>
      <c r="N172" s="531" t="e">
        <f t="shared" si="56"/>
        <v>#DIV/0!</v>
      </c>
      <c r="O172" s="531" t="e">
        <f t="shared" si="56"/>
        <v>#DIV/0!</v>
      </c>
    </row>
    <row r="173" s="920" customFormat="1" ht="14.25">
      <c r="A173" s="928"/>
    </row>
    <row r="174" spans="1:2" s="920" customFormat="1" ht="14.25">
      <c r="A174" s="928"/>
      <c r="B174" s="929" t="s">
        <v>709</v>
      </c>
    </row>
    <row r="175" spans="1:15" s="920" customFormat="1" ht="14.25">
      <c r="A175" s="1272" t="s">
        <v>68</v>
      </c>
      <c r="B175" s="1273"/>
      <c r="C175" s="1278" t="s">
        <v>37</v>
      </c>
      <c r="D175" s="1278" t="s">
        <v>335</v>
      </c>
      <c r="E175" s="1282"/>
      <c r="F175" s="1282"/>
      <c r="G175" s="1282"/>
      <c r="H175" s="1282"/>
      <c r="I175" s="1282"/>
      <c r="J175" s="1282"/>
      <c r="K175" s="1282"/>
      <c r="L175" s="1282"/>
      <c r="M175" s="1282"/>
      <c r="N175" s="1282"/>
      <c r="O175" s="1283"/>
    </row>
    <row r="176" spans="1:15" s="920" customFormat="1" ht="15">
      <c r="A176" s="1274"/>
      <c r="B176" s="1275"/>
      <c r="C176" s="1279"/>
      <c r="D176" s="1284" t="s">
        <v>119</v>
      </c>
      <c r="E176" s="1266" t="s">
        <v>120</v>
      </c>
      <c r="F176" s="1267"/>
      <c r="G176" s="1268"/>
      <c r="H176" s="1262" t="s">
        <v>121</v>
      </c>
      <c r="I176" s="1262" t="s">
        <v>122</v>
      </c>
      <c r="J176" s="1262" t="s">
        <v>198</v>
      </c>
      <c r="K176" s="1262" t="s">
        <v>124</v>
      </c>
      <c r="L176" s="1262" t="s">
        <v>125</v>
      </c>
      <c r="M176" s="1262" t="s">
        <v>126</v>
      </c>
      <c r="N176" s="1262" t="s">
        <v>183</v>
      </c>
      <c r="O176" s="1262" t="s">
        <v>127</v>
      </c>
    </row>
    <row r="177" spans="1:15" s="920" customFormat="1" ht="15">
      <c r="A177" s="1274"/>
      <c r="B177" s="1275"/>
      <c r="C177" s="1279"/>
      <c r="D177" s="1284"/>
      <c r="E177" s="1271" t="s">
        <v>36</v>
      </c>
      <c r="F177" s="1264" t="s">
        <v>7</v>
      </c>
      <c r="G177" s="1265"/>
      <c r="H177" s="1262"/>
      <c r="I177" s="1262"/>
      <c r="J177" s="1262"/>
      <c r="K177" s="1262"/>
      <c r="L177" s="1262"/>
      <c r="M177" s="1262"/>
      <c r="N177" s="1262"/>
      <c r="O177" s="1262"/>
    </row>
    <row r="178" spans="1:15" s="920" customFormat="1" ht="15">
      <c r="A178" s="1276"/>
      <c r="B178" s="1277"/>
      <c r="C178" s="1279"/>
      <c r="D178" s="1285"/>
      <c r="E178" s="1263"/>
      <c r="F178" s="557" t="s">
        <v>199</v>
      </c>
      <c r="G178" s="558" t="s">
        <v>200</v>
      </c>
      <c r="H178" s="1263"/>
      <c r="I178" s="1263"/>
      <c r="J178" s="1263"/>
      <c r="K178" s="1263"/>
      <c r="L178" s="1263"/>
      <c r="M178" s="1263"/>
      <c r="N178" s="1263"/>
      <c r="O178" s="1263"/>
    </row>
    <row r="179" spans="1:15" s="920" customFormat="1" ht="15">
      <c r="A179" s="1323" t="s">
        <v>39</v>
      </c>
      <c r="B179" s="1324"/>
      <c r="C179" s="930">
        <v>1</v>
      </c>
      <c r="D179" s="930">
        <v>2</v>
      </c>
      <c r="E179" s="930">
        <v>3</v>
      </c>
      <c r="F179" s="930">
        <v>4</v>
      </c>
      <c r="G179" s="930">
        <v>5</v>
      </c>
      <c r="H179" s="930">
        <v>6</v>
      </c>
      <c r="I179" s="930">
        <v>7</v>
      </c>
      <c r="J179" s="930">
        <v>8</v>
      </c>
      <c r="K179" s="930">
        <v>9</v>
      </c>
      <c r="L179" s="930">
        <v>10</v>
      </c>
      <c r="M179" s="930">
        <v>11</v>
      </c>
      <c r="N179" s="930">
        <v>12</v>
      </c>
      <c r="O179" s="930">
        <v>13</v>
      </c>
    </row>
    <row r="180" spans="1:15" s="920" customFormat="1" ht="14.25">
      <c r="A180" s="917" t="s">
        <v>0</v>
      </c>
      <c r="B180" s="918" t="s">
        <v>130</v>
      </c>
      <c r="C180" s="630">
        <f aca="true" t="shared" si="57" ref="C180:C193">SUM(D180,E180,H180:O180)</f>
        <v>1194920</v>
      </c>
      <c r="D180" s="638">
        <f>SUM(D181:D182)</f>
        <v>537755</v>
      </c>
      <c r="E180" s="638">
        <f aca="true" t="shared" si="58" ref="E180:J180">SUM(E181:E182)</f>
        <v>569465</v>
      </c>
      <c r="F180" s="638">
        <f t="shared" si="58"/>
        <v>0</v>
      </c>
      <c r="G180" s="638">
        <f t="shared" si="58"/>
        <v>569465</v>
      </c>
      <c r="H180" s="638">
        <f t="shared" si="58"/>
        <v>0</v>
      </c>
      <c r="I180" s="638">
        <f t="shared" si="58"/>
        <v>87700</v>
      </c>
      <c r="J180" s="638">
        <f t="shared" si="58"/>
        <v>0</v>
      </c>
      <c r="K180" s="638">
        <f>SUM(K181:K182)</f>
        <v>0</v>
      </c>
      <c r="L180" s="638">
        <f>SUM(L181:L182)</f>
        <v>0</v>
      </c>
      <c r="M180" s="638">
        <f>SUM(M181:M182)</f>
        <v>0</v>
      </c>
      <c r="N180" s="638">
        <f>SUM(N181:N182)</f>
        <v>0</v>
      </c>
      <c r="O180" s="638">
        <f>SUM(O181:O182)</f>
        <v>0</v>
      </c>
    </row>
    <row r="181" spans="1:15" s="920" customFormat="1" ht="15">
      <c r="A181" s="921">
        <v>1</v>
      </c>
      <c r="B181" s="922" t="s">
        <v>131</v>
      </c>
      <c r="C181" s="635">
        <f t="shared" si="57"/>
        <v>957920</v>
      </c>
      <c r="D181" s="682">
        <v>434455</v>
      </c>
      <c r="E181" s="640">
        <f aca="true" t="shared" si="59" ref="E181:E191">SUM(F181:G181)</f>
        <v>466465</v>
      </c>
      <c r="F181" s="682">
        <v>0</v>
      </c>
      <c r="G181" s="682">
        <v>466465</v>
      </c>
      <c r="H181" s="682"/>
      <c r="I181" s="682">
        <v>57000</v>
      </c>
      <c r="J181" s="682">
        <v>0</v>
      </c>
      <c r="K181" s="682"/>
      <c r="L181" s="682"/>
      <c r="M181" s="682"/>
      <c r="N181" s="682"/>
      <c r="O181" s="682">
        <v>0</v>
      </c>
    </row>
    <row r="182" spans="1:15" s="920" customFormat="1" ht="15">
      <c r="A182" s="921">
        <v>2</v>
      </c>
      <c r="B182" s="922" t="s">
        <v>132</v>
      </c>
      <c r="C182" s="635">
        <f t="shared" si="57"/>
        <v>237000</v>
      </c>
      <c r="D182" s="642">
        <v>103300</v>
      </c>
      <c r="E182" s="640">
        <f t="shared" si="59"/>
        <v>103000</v>
      </c>
      <c r="F182" s="642"/>
      <c r="G182" s="642">
        <v>103000</v>
      </c>
      <c r="H182" s="642"/>
      <c r="I182" s="642">
        <v>30700</v>
      </c>
      <c r="J182" s="642"/>
      <c r="K182" s="642"/>
      <c r="L182" s="642"/>
      <c r="M182" s="642"/>
      <c r="N182" s="642"/>
      <c r="O182" s="642"/>
    </row>
    <row r="183" spans="1:15" s="920" customFormat="1" ht="15">
      <c r="A183" s="20" t="s">
        <v>1</v>
      </c>
      <c r="B183" s="923" t="s">
        <v>133</v>
      </c>
      <c r="C183" s="635">
        <f t="shared" si="57"/>
        <v>0</v>
      </c>
      <c r="D183" s="642"/>
      <c r="E183" s="640">
        <f t="shared" si="59"/>
        <v>0</v>
      </c>
      <c r="F183" s="642"/>
      <c r="G183" s="642">
        <v>0</v>
      </c>
      <c r="H183" s="642"/>
      <c r="I183" s="642"/>
      <c r="J183" s="642"/>
      <c r="K183" s="642"/>
      <c r="L183" s="642"/>
      <c r="M183" s="642"/>
      <c r="N183" s="642"/>
      <c r="O183" s="642"/>
    </row>
    <row r="184" spans="1:15" s="920" customFormat="1" ht="15">
      <c r="A184" s="20" t="s">
        <v>9</v>
      </c>
      <c r="B184" s="923" t="s">
        <v>134</v>
      </c>
      <c r="C184" s="635">
        <f t="shared" si="57"/>
        <v>0</v>
      </c>
      <c r="D184" s="642"/>
      <c r="E184" s="640">
        <f t="shared" si="59"/>
        <v>0</v>
      </c>
      <c r="F184" s="642"/>
      <c r="G184" s="642"/>
      <c r="H184" s="642"/>
      <c r="I184" s="642"/>
      <c r="J184" s="642"/>
      <c r="K184" s="642"/>
      <c r="L184" s="642"/>
      <c r="M184" s="642"/>
      <c r="N184" s="642"/>
      <c r="O184" s="642"/>
    </row>
    <row r="185" spans="1:15" s="920" customFormat="1" ht="14.25">
      <c r="A185" s="20" t="s">
        <v>135</v>
      </c>
      <c r="B185" s="923" t="s">
        <v>136</v>
      </c>
      <c r="C185" s="630">
        <f t="shared" si="57"/>
        <v>1194920</v>
      </c>
      <c r="D185" s="631">
        <f>D180-SUM(D183,D184)</f>
        <v>537755</v>
      </c>
      <c r="E185" s="638">
        <f t="shared" si="59"/>
        <v>569465</v>
      </c>
      <c r="F185" s="631">
        <f aca="true" t="shared" si="60" ref="F185:O185">F180-SUM(F183,F184)</f>
        <v>0</v>
      </c>
      <c r="G185" s="631">
        <f t="shared" si="60"/>
        <v>569465</v>
      </c>
      <c r="H185" s="631">
        <f t="shared" si="60"/>
        <v>0</v>
      </c>
      <c r="I185" s="631">
        <f t="shared" si="60"/>
        <v>87700</v>
      </c>
      <c r="J185" s="631">
        <f t="shared" si="60"/>
        <v>0</v>
      </c>
      <c r="K185" s="631">
        <f t="shared" si="60"/>
        <v>0</v>
      </c>
      <c r="L185" s="631">
        <f t="shared" si="60"/>
        <v>0</v>
      </c>
      <c r="M185" s="631">
        <f t="shared" si="60"/>
        <v>0</v>
      </c>
      <c r="N185" s="631">
        <f t="shared" si="60"/>
        <v>0</v>
      </c>
      <c r="O185" s="631">
        <f t="shared" si="60"/>
        <v>0</v>
      </c>
    </row>
    <row r="186" spans="1:15" s="920" customFormat="1" ht="14.25" customHeight="1">
      <c r="A186" s="20" t="s">
        <v>51</v>
      </c>
      <c r="B186" s="924" t="s">
        <v>137</v>
      </c>
      <c r="C186" s="630">
        <f t="shared" si="57"/>
        <v>354156</v>
      </c>
      <c r="D186" s="639">
        <f>SUM(D187:D193)</f>
        <v>205456</v>
      </c>
      <c r="E186" s="638">
        <f t="shared" si="59"/>
        <v>118000</v>
      </c>
      <c r="F186" s="639">
        <f aca="true" t="shared" si="61" ref="F186:O186">SUM(F187:F193)</f>
        <v>0</v>
      </c>
      <c r="G186" s="639">
        <f t="shared" si="61"/>
        <v>118000</v>
      </c>
      <c r="H186" s="639">
        <f t="shared" si="61"/>
        <v>0</v>
      </c>
      <c r="I186" s="639">
        <f t="shared" si="61"/>
        <v>30700</v>
      </c>
      <c r="J186" s="639">
        <f t="shared" si="61"/>
        <v>0</v>
      </c>
      <c r="K186" s="639">
        <f t="shared" si="61"/>
        <v>0</v>
      </c>
      <c r="L186" s="639">
        <f t="shared" si="61"/>
        <v>0</v>
      </c>
      <c r="M186" s="639">
        <f t="shared" si="61"/>
        <v>0</v>
      </c>
      <c r="N186" s="639">
        <f t="shared" si="61"/>
        <v>0</v>
      </c>
      <c r="O186" s="639">
        <f t="shared" si="61"/>
        <v>0</v>
      </c>
    </row>
    <row r="187" spans="1:15" s="920" customFormat="1" ht="15">
      <c r="A187" s="921" t="s">
        <v>53</v>
      </c>
      <c r="B187" s="922" t="s">
        <v>138</v>
      </c>
      <c r="C187" s="635">
        <f t="shared" si="57"/>
        <v>29700</v>
      </c>
      <c r="D187" s="641">
        <v>4500</v>
      </c>
      <c r="E187" s="640">
        <f t="shared" si="59"/>
        <v>15000</v>
      </c>
      <c r="F187" s="641"/>
      <c r="G187" s="641">
        <v>15000</v>
      </c>
      <c r="H187" s="641"/>
      <c r="I187" s="641">
        <v>10200</v>
      </c>
      <c r="J187" s="641"/>
      <c r="K187" s="641"/>
      <c r="L187" s="641"/>
      <c r="M187" s="641"/>
      <c r="N187" s="641"/>
      <c r="O187" s="641"/>
    </row>
    <row r="188" spans="1:15" s="920" customFormat="1" ht="15">
      <c r="A188" s="921" t="s">
        <v>54</v>
      </c>
      <c r="B188" s="922" t="s">
        <v>139</v>
      </c>
      <c r="C188" s="635">
        <f t="shared" si="57"/>
        <v>0</v>
      </c>
      <c r="D188" s="642">
        <v>0</v>
      </c>
      <c r="E188" s="640">
        <f t="shared" si="59"/>
        <v>0</v>
      </c>
      <c r="F188" s="642"/>
      <c r="G188" s="642">
        <v>0</v>
      </c>
      <c r="H188" s="642"/>
      <c r="I188" s="642"/>
      <c r="J188" s="642"/>
      <c r="K188" s="642"/>
      <c r="L188" s="642"/>
      <c r="M188" s="642"/>
      <c r="N188" s="642"/>
      <c r="O188" s="642"/>
    </row>
    <row r="189" spans="1:15" s="920" customFormat="1" ht="15">
      <c r="A189" s="921" t="s">
        <v>140</v>
      </c>
      <c r="B189" s="922" t="s">
        <v>141</v>
      </c>
      <c r="C189" s="635">
        <f t="shared" si="57"/>
        <v>324456</v>
      </c>
      <c r="D189" s="642">
        <v>200956</v>
      </c>
      <c r="E189" s="640">
        <f t="shared" si="59"/>
        <v>103000</v>
      </c>
      <c r="F189" s="642"/>
      <c r="G189" s="642">
        <v>103000</v>
      </c>
      <c r="H189" s="642"/>
      <c r="I189" s="642">
        <v>20500</v>
      </c>
      <c r="J189" s="642"/>
      <c r="K189" s="642"/>
      <c r="L189" s="642"/>
      <c r="M189" s="642"/>
      <c r="N189" s="642"/>
      <c r="O189" s="642"/>
    </row>
    <row r="190" spans="1:15" s="920" customFormat="1" ht="15">
      <c r="A190" s="921" t="s">
        <v>142</v>
      </c>
      <c r="B190" s="922" t="s">
        <v>143</v>
      </c>
      <c r="C190" s="635">
        <f t="shared" si="57"/>
        <v>0</v>
      </c>
      <c r="D190" s="642"/>
      <c r="E190" s="640">
        <f t="shared" si="59"/>
        <v>0</v>
      </c>
      <c r="F190" s="642"/>
      <c r="G190" s="642"/>
      <c r="H190" s="642"/>
      <c r="I190" s="642"/>
      <c r="J190" s="642"/>
      <c r="K190" s="642"/>
      <c r="L190" s="642"/>
      <c r="M190" s="642"/>
      <c r="N190" s="642"/>
      <c r="O190" s="642"/>
    </row>
    <row r="191" spans="1:15" s="920" customFormat="1" ht="15">
      <c r="A191" s="921" t="s">
        <v>144</v>
      </c>
      <c r="B191" s="922" t="s">
        <v>145</v>
      </c>
      <c r="C191" s="635">
        <f t="shared" si="57"/>
        <v>0</v>
      </c>
      <c r="D191" s="642"/>
      <c r="E191" s="640">
        <f t="shared" si="59"/>
        <v>0</v>
      </c>
      <c r="F191" s="642"/>
      <c r="G191" s="642"/>
      <c r="H191" s="642"/>
      <c r="I191" s="642"/>
      <c r="J191" s="642"/>
      <c r="K191" s="642"/>
      <c r="L191" s="642"/>
      <c r="M191" s="642"/>
      <c r="N191" s="642"/>
      <c r="O191" s="642"/>
    </row>
    <row r="192" spans="1:15" s="920" customFormat="1" ht="30">
      <c r="A192" s="921" t="s">
        <v>146</v>
      </c>
      <c r="B192" s="925" t="s">
        <v>147</v>
      </c>
      <c r="C192" s="635">
        <f t="shared" si="57"/>
        <v>0</v>
      </c>
      <c r="D192" s="642"/>
      <c r="E192" s="640">
        <f>SUM(F192:G192)</f>
        <v>0</v>
      </c>
      <c r="F192" s="642"/>
      <c r="G192" s="642"/>
      <c r="H192" s="642"/>
      <c r="I192" s="642"/>
      <c r="J192" s="642"/>
      <c r="K192" s="642"/>
      <c r="L192" s="642"/>
      <c r="M192" s="642"/>
      <c r="N192" s="642"/>
      <c r="O192" s="642"/>
    </row>
    <row r="193" spans="1:15" s="920" customFormat="1" ht="15">
      <c r="A193" s="921" t="s">
        <v>148</v>
      </c>
      <c r="B193" s="922" t="s">
        <v>149</v>
      </c>
      <c r="C193" s="635">
        <f t="shared" si="57"/>
        <v>0</v>
      </c>
      <c r="D193" s="642"/>
      <c r="E193" s="640">
        <f>SUM(F193:G193)</f>
        <v>0</v>
      </c>
      <c r="F193" s="642"/>
      <c r="G193" s="642"/>
      <c r="H193" s="642"/>
      <c r="I193" s="642"/>
      <c r="J193" s="642"/>
      <c r="K193" s="642"/>
      <c r="L193" s="642"/>
      <c r="M193" s="642"/>
      <c r="N193" s="642"/>
      <c r="O193" s="642"/>
    </row>
    <row r="194" spans="1:15" s="920" customFormat="1" ht="14.25">
      <c r="A194" s="20" t="s">
        <v>52</v>
      </c>
      <c r="B194" s="923" t="s">
        <v>150</v>
      </c>
      <c r="C194" s="646">
        <f>C180-C183-C184-C186</f>
        <v>840764</v>
      </c>
      <c r="D194" s="646">
        <f>D185-D186</f>
        <v>332299</v>
      </c>
      <c r="E194" s="646">
        <f aca="true" t="shared" si="62" ref="E194:O194">E185-E186</f>
        <v>451465</v>
      </c>
      <c r="F194" s="646">
        <f t="shared" si="62"/>
        <v>0</v>
      </c>
      <c r="G194" s="646">
        <f t="shared" si="62"/>
        <v>451465</v>
      </c>
      <c r="H194" s="646">
        <f t="shared" si="62"/>
        <v>0</v>
      </c>
      <c r="I194" s="646">
        <f t="shared" si="62"/>
        <v>57000</v>
      </c>
      <c r="J194" s="646">
        <f t="shared" si="62"/>
        <v>0</v>
      </c>
      <c r="K194" s="646">
        <f t="shared" si="62"/>
        <v>0</v>
      </c>
      <c r="L194" s="646">
        <f t="shared" si="62"/>
        <v>0</v>
      </c>
      <c r="M194" s="646">
        <f t="shared" si="62"/>
        <v>0</v>
      </c>
      <c r="N194" s="646">
        <f t="shared" si="62"/>
        <v>0</v>
      </c>
      <c r="O194" s="646">
        <f t="shared" si="62"/>
        <v>0</v>
      </c>
    </row>
    <row r="195" spans="1:15" s="920" customFormat="1" ht="24" customHeight="1">
      <c r="A195" s="926" t="s">
        <v>538</v>
      </c>
      <c r="B195" s="927" t="s">
        <v>731</v>
      </c>
      <c r="C195" s="530">
        <f>(C187+C188)/C186</f>
        <v>0.08386134923592993</v>
      </c>
      <c r="D195" s="531">
        <f aca="true" t="shared" si="63" ref="D195:O195">(D187+D188)/D186</f>
        <v>0.021902499805311112</v>
      </c>
      <c r="E195" s="530">
        <f t="shared" si="63"/>
        <v>0.1271186440677966</v>
      </c>
      <c r="F195" s="531" t="e">
        <f t="shared" si="63"/>
        <v>#DIV/0!</v>
      </c>
      <c r="G195" s="531">
        <f t="shared" si="63"/>
        <v>0.1271186440677966</v>
      </c>
      <c r="H195" s="531" t="e">
        <f t="shared" si="63"/>
        <v>#DIV/0!</v>
      </c>
      <c r="I195" s="531">
        <f t="shared" si="63"/>
        <v>0.3322475570032573</v>
      </c>
      <c r="J195" s="531" t="e">
        <f t="shared" si="63"/>
        <v>#DIV/0!</v>
      </c>
      <c r="K195" s="531" t="e">
        <f t="shared" si="63"/>
        <v>#DIV/0!</v>
      </c>
      <c r="L195" s="531" t="e">
        <f t="shared" si="63"/>
        <v>#DIV/0!</v>
      </c>
      <c r="M195" s="531" t="e">
        <f t="shared" si="63"/>
        <v>#DIV/0!</v>
      </c>
      <c r="N195" s="531" t="e">
        <f t="shared" si="63"/>
        <v>#DIV/0!</v>
      </c>
      <c r="O195" s="531" t="e">
        <f t="shared" si="63"/>
        <v>#DIV/0!</v>
      </c>
    </row>
    <row r="196" s="920" customFormat="1" ht="14.25">
      <c r="A196" s="928"/>
    </row>
    <row r="197" spans="1:2" s="920" customFormat="1" ht="14.25">
      <c r="A197" s="928"/>
      <c r="B197" s="929" t="s">
        <v>695</v>
      </c>
    </row>
    <row r="198" spans="1:15" s="920" customFormat="1" ht="0.75" customHeight="1">
      <c r="A198" s="1272" t="s">
        <v>68</v>
      </c>
      <c r="B198" s="1273"/>
      <c r="C198" s="1278" t="s">
        <v>37</v>
      </c>
      <c r="D198" s="1278" t="s">
        <v>335</v>
      </c>
      <c r="E198" s="1282"/>
      <c r="F198" s="1282"/>
      <c r="G198" s="1282"/>
      <c r="H198" s="1282"/>
      <c r="I198" s="1282"/>
      <c r="J198" s="1282"/>
      <c r="K198" s="1282"/>
      <c r="L198" s="1282"/>
      <c r="M198" s="1282"/>
      <c r="N198" s="1282"/>
      <c r="O198" s="1283"/>
    </row>
    <row r="199" spans="1:15" s="920" customFormat="1" ht="15">
      <c r="A199" s="1274"/>
      <c r="B199" s="1275"/>
      <c r="C199" s="1279"/>
      <c r="D199" s="1284" t="s">
        <v>119</v>
      </c>
      <c r="E199" s="1266" t="s">
        <v>120</v>
      </c>
      <c r="F199" s="1267"/>
      <c r="G199" s="1268"/>
      <c r="H199" s="1262" t="s">
        <v>121</v>
      </c>
      <c r="I199" s="1262" t="s">
        <v>122</v>
      </c>
      <c r="J199" s="1262" t="s">
        <v>198</v>
      </c>
      <c r="K199" s="1262" t="s">
        <v>124</v>
      </c>
      <c r="L199" s="1262" t="s">
        <v>125</v>
      </c>
      <c r="M199" s="1262" t="s">
        <v>126</v>
      </c>
      <c r="N199" s="1262" t="s">
        <v>183</v>
      </c>
      <c r="O199" s="1262" t="s">
        <v>127</v>
      </c>
    </row>
    <row r="200" spans="1:15" s="920" customFormat="1" ht="15">
      <c r="A200" s="1274"/>
      <c r="B200" s="1275"/>
      <c r="C200" s="1279"/>
      <c r="D200" s="1284"/>
      <c r="E200" s="1271" t="s">
        <v>36</v>
      </c>
      <c r="F200" s="1264" t="s">
        <v>7</v>
      </c>
      <c r="G200" s="1265"/>
      <c r="H200" s="1262"/>
      <c r="I200" s="1262"/>
      <c r="J200" s="1262"/>
      <c r="K200" s="1262"/>
      <c r="L200" s="1262"/>
      <c r="M200" s="1262"/>
      <c r="N200" s="1262"/>
      <c r="O200" s="1262"/>
    </row>
    <row r="201" spans="1:15" s="920" customFormat="1" ht="15">
      <c r="A201" s="1276"/>
      <c r="B201" s="1277"/>
      <c r="C201" s="1279"/>
      <c r="D201" s="1285"/>
      <c r="E201" s="1263"/>
      <c r="F201" s="557" t="s">
        <v>199</v>
      </c>
      <c r="G201" s="558" t="s">
        <v>200</v>
      </c>
      <c r="H201" s="1263"/>
      <c r="I201" s="1263"/>
      <c r="J201" s="1263"/>
      <c r="K201" s="1263"/>
      <c r="L201" s="1263"/>
      <c r="M201" s="1263"/>
      <c r="N201" s="1263"/>
      <c r="O201" s="1263"/>
    </row>
    <row r="202" spans="1:15" s="920" customFormat="1" ht="15">
      <c r="A202" s="1323" t="s">
        <v>39</v>
      </c>
      <c r="B202" s="1324"/>
      <c r="C202" s="930">
        <v>1</v>
      </c>
      <c r="D202" s="930">
        <v>2</v>
      </c>
      <c r="E202" s="930">
        <v>3</v>
      </c>
      <c r="F202" s="930">
        <v>4</v>
      </c>
      <c r="G202" s="930">
        <v>5</v>
      </c>
      <c r="H202" s="930">
        <v>6</v>
      </c>
      <c r="I202" s="930">
        <v>7</v>
      </c>
      <c r="J202" s="930">
        <v>8</v>
      </c>
      <c r="K202" s="930">
        <v>9</v>
      </c>
      <c r="L202" s="930">
        <v>10</v>
      </c>
      <c r="M202" s="930">
        <v>11</v>
      </c>
      <c r="N202" s="930">
        <v>12</v>
      </c>
      <c r="O202" s="930">
        <v>13</v>
      </c>
    </row>
    <row r="203" spans="1:15" s="920" customFormat="1" ht="14.25">
      <c r="A203" s="917" t="s">
        <v>0</v>
      </c>
      <c r="B203" s="918" t="s">
        <v>130</v>
      </c>
      <c r="C203" s="630">
        <f aca="true" t="shared" si="64" ref="C203:C216">SUM(D203,E203,H203:O203)</f>
        <v>2099284</v>
      </c>
      <c r="D203" s="638">
        <f>SUM(D204:D205)</f>
        <v>1870391</v>
      </c>
      <c r="E203" s="638">
        <f aca="true" t="shared" si="65" ref="E203:J203">SUM(E204:E205)</f>
        <v>70563</v>
      </c>
      <c r="F203" s="638">
        <f t="shared" si="65"/>
        <v>0</v>
      </c>
      <c r="G203" s="638">
        <f t="shared" si="65"/>
        <v>70563</v>
      </c>
      <c r="H203" s="638">
        <f t="shared" si="65"/>
        <v>0</v>
      </c>
      <c r="I203" s="638">
        <f t="shared" si="65"/>
        <v>158330</v>
      </c>
      <c r="J203" s="638">
        <f t="shared" si="65"/>
        <v>0</v>
      </c>
      <c r="K203" s="638">
        <f>SUM(K204:K205)</f>
        <v>0</v>
      </c>
      <c r="L203" s="638">
        <f>SUM(L204:L205)</f>
        <v>0</v>
      </c>
      <c r="M203" s="638">
        <f>SUM(M204:M205)</f>
        <v>0</v>
      </c>
      <c r="N203" s="638">
        <f>SUM(N204:N205)</f>
        <v>0</v>
      </c>
      <c r="O203" s="638">
        <f>SUM(O204:O205)</f>
        <v>0</v>
      </c>
    </row>
    <row r="204" spans="1:15" s="920" customFormat="1" ht="15">
      <c r="A204" s="921">
        <v>1</v>
      </c>
      <c r="B204" s="922" t="s">
        <v>131</v>
      </c>
      <c r="C204" s="635">
        <f t="shared" si="64"/>
        <v>1774933</v>
      </c>
      <c r="D204" s="941">
        <v>1648950</v>
      </c>
      <c r="E204" s="640">
        <f aca="true" t="shared" si="66" ref="E204:E214">SUM(F204:G204)</f>
        <v>65583</v>
      </c>
      <c r="F204" s="942">
        <v>0</v>
      </c>
      <c r="G204" s="941">
        <v>65583</v>
      </c>
      <c r="H204" s="941">
        <v>0</v>
      </c>
      <c r="I204" s="941">
        <v>60400</v>
      </c>
      <c r="J204" s="941"/>
      <c r="K204" s="941"/>
      <c r="L204" s="941"/>
      <c r="M204" s="943"/>
      <c r="N204" s="944"/>
      <c r="O204" s="944"/>
    </row>
    <row r="205" spans="1:15" s="920" customFormat="1" ht="15">
      <c r="A205" s="921">
        <v>2</v>
      </c>
      <c r="B205" s="922" t="s">
        <v>132</v>
      </c>
      <c r="C205" s="635">
        <f t="shared" si="64"/>
        <v>324351</v>
      </c>
      <c r="D205" s="764">
        <v>221441</v>
      </c>
      <c r="E205" s="640">
        <f t="shared" si="66"/>
        <v>4980</v>
      </c>
      <c r="F205" s="764"/>
      <c r="G205" s="764">
        <v>4980</v>
      </c>
      <c r="H205" s="764"/>
      <c r="I205" s="764">
        <v>97930</v>
      </c>
      <c r="J205" s="764"/>
      <c r="K205" s="764"/>
      <c r="L205" s="764"/>
      <c r="M205" s="945"/>
      <c r="N205" s="764"/>
      <c r="O205" s="764"/>
    </row>
    <row r="206" spans="1:15" s="920" customFormat="1" ht="15">
      <c r="A206" s="20" t="s">
        <v>1</v>
      </c>
      <c r="B206" s="923" t="s">
        <v>133</v>
      </c>
      <c r="C206" s="635">
        <f t="shared" si="64"/>
        <v>0</v>
      </c>
      <c r="D206" s="642"/>
      <c r="E206" s="640">
        <f t="shared" si="66"/>
        <v>0</v>
      </c>
      <c r="F206" s="764"/>
      <c r="G206" s="764"/>
      <c r="H206" s="764"/>
      <c r="I206" s="764"/>
      <c r="J206" s="764"/>
      <c r="K206" s="764"/>
      <c r="L206" s="945"/>
      <c r="M206" s="945"/>
      <c r="N206" s="764"/>
      <c r="O206" s="764"/>
    </row>
    <row r="207" spans="1:15" s="920" customFormat="1" ht="15">
      <c r="A207" s="20" t="s">
        <v>9</v>
      </c>
      <c r="B207" s="923" t="s">
        <v>134</v>
      </c>
      <c r="C207" s="635">
        <f t="shared" si="64"/>
        <v>0</v>
      </c>
      <c r="D207" s="642"/>
      <c r="E207" s="640">
        <f t="shared" si="66"/>
        <v>0</v>
      </c>
      <c r="F207" s="642"/>
      <c r="G207" s="642"/>
      <c r="H207" s="642"/>
      <c r="I207" s="642"/>
      <c r="J207" s="642"/>
      <c r="K207" s="642"/>
      <c r="L207" s="642"/>
      <c r="M207" s="642"/>
      <c r="N207" s="642"/>
      <c r="O207" s="642"/>
    </row>
    <row r="208" spans="1:15" s="920" customFormat="1" ht="14.25">
      <c r="A208" s="20" t="s">
        <v>135</v>
      </c>
      <c r="B208" s="923" t="s">
        <v>136</v>
      </c>
      <c r="C208" s="630">
        <f t="shared" si="64"/>
        <v>2099284</v>
      </c>
      <c r="D208" s="631">
        <f>D203-SUM(D206,D207)</f>
        <v>1870391</v>
      </c>
      <c r="E208" s="638">
        <f t="shared" si="66"/>
        <v>70563</v>
      </c>
      <c r="F208" s="631">
        <f aca="true" t="shared" si="67" ref="F208:O208">F203-SUM(F206,F207)</f>
        <v>0</v>
      </c>
      <c r="G208" s="631">
        <f t="shared" si="67"/>
        <v>70563</v>
      </c>
      <c r="H208" s="631">
        <f t="shared" si="67"/>
        <v>0</v>
      </c>
      <c r="I208" s="631">
        <f t="shared" si="67"/>
        <v>158330</v>
      </c>
      <c r="J208" s="631">
        <f t="shared" si="67"/>
        <v>0</v>
      </c>
      <c r="K208" s="631">
        <f t="shared" si="67"/>
        <v>0</v>
      </c>
      <c r="L208" s="631">
        <f t="shared" si="67"/>
        <v>0</v>
      </c>
      <c r="M208" s="631">
        <f t="shared" si="67"/>
        <v>0</v>
      </c>
      <c r="N208" s="631">
        <f t="shared" si="67"/>
        <v>0</v>
      </c>
      <c r="O208" s="631">
        <f t="shared" si="67"/>
        <v>0</v>
      </c>
    </row>
    <row r="209" spans="1:15" s="920" customFormat="1" ht="14.25">
      <c r="A209" s="20" t="s">
        <v>51</v>
      </c>
      <c r="B209" s="924" t="s">
        <v>137</v>
      </c>
      <c r="C209" s="630">
        <f t="shared" si="64"/>
        <v>555451</v>
      </c>
      <c r="D209" s="639">
        <f>SUM(D210:D216)</f>
        <v>451341</v>
      </c>
      <c r="E209" s="638">
        <f t="shared" si="66"/>
        <v>4980</v>
      </c>
      <c r="F209" s="639">
        <f aca="true" t="shared" si="68" ref="F209:O209">SUM(F210:F216)</f>
        <v>0</v>
      </c>
      <c r="G209" s="639">
        <f t="shared" si="68"/>
        <v>4980</v>
      </c>
      <c r="H209" s="639">
        <f t="shared" si="68"/>
        <v>0</v>
      </c>
      <c r="I209" s="639">
        <f t="shared" si="68"/>
        <v>99130</v>
      </c>
      <c r="J209" s="639">
        <f t="shared" si="68"/>
        <v>0</v>
      </c>
      <c r="K209" s="639">
        <f t="shared" si="68"/>
        <v>0</v>
      </c>
      <c r="L209" s="639">
        <f t="shared" si="68"/>
        <v>0</v>
      </c>
      <c r="M209" s="639">
        <f t="shared" si="68"/>
        <v>0</v>
      </c>
      <c r="N209" s="639">
        <f t="shared" si="68"/>
        <v>0</v>
      </c>
      <c r="O209" s="639">
        <f t="shared" si="68"/>
        <v>0</v>
      </c>
    </row>
    <row r="210" spans="1:15" s="920" customFormat="1" ht="15">
      <c r="A210" s="921" t="s">
        <v>53</v>
      </c>
      <c r="B210" s="922" t="s">
        <v>138</v>
      </c>
      <c r="C210" s="635">
        <f t="shared" si="64"/>
        <v>99770</v>
      </c>
      <c r="D210" s="946">
        <v>23500</v>
      </c>
      <c r="E210" s="640">
        <f t="shared" si="66"/>
        <v>1040</v>
      </c>
      <c r="F210" s="946"/>
      <c r="G210" s="946">
        <v>1040</v>
      </c>
      <c r="H210" s="946"/>
      <c r="I210" s="946">
        <v>75230</v>
      </c>
      <c r="J210" s="946"/>
      <c r="K210" s="946"/>
      <c r="L210" s="946"/>
      <c r="M210" s="946"/>
      <c r="N210" s="764"/>
      <c r="O210" s="764"/>
    </row>
    <row r="211" spans="1:15" s="920" customFormat="1" ht="15">
      <c r="A211" s="921" t="s">
        <v>54</v>
      </c>
      <c r="B211" s="922" t="s">
        <v>139</v>
      </c>
      <c r="C211" s="635">
        <f t="shared" si="64"/>
        <v>0</v>
      </c>
      <c r="D211" s="946"/>
      <c r="E211" s="640">
        <f t="shared" si="66"/>
        <v>0</v>
      </c>
      <c r="F211" s="946"/>
      <c r="G211" s="946"/>
      <c r="H211" s="946"/>
      <c r="I211" s="946"/>
      <c r="J211" s="946"/>
      <c r="K211" s="946"/>
      <c r="L211" s="946"/>
      <c r="M211" s="946"/>
      <c r="N211" s="764"/>
      <c r="O211" s="764"/>
    </row>
    <row r="212" spans="1:15" s="920" customFormat="1" ht="15">
      <c r="A212" s="921" t="s">
        <v>140</v>
      </c>
      <c r="B212" s="922" t="s">
        <v>141</v>
      </c>
      <c r="C212" s="635">
        <f t="shared" si="64"/>
        <v>455681</v>
      </c>
      <c r="D212" s="946">
        <v>427841</v>
      </c>
      <c r="E212" s="640">
        <f t="shared" si="66"/>
        <v>3940</v>
      </c>
      <c r="F212" s="946"/>
      <c r="G212" s="946">
        <v>3940</v>
      </c>
      <c r="H212" s="946"/>
      <c r="I212" s="946">
        <v>23900</v>
      </c>
      <c r="J212" s="946"/>
      <c r="K212" s="946"/>
      <c r="L212" s="946"/>
      <c r="M212" s="946"/>
      <c r="N212" s="764"/>
      <c r="O212" s="764"/>
    </row>
    <row r="213" spans="1:15" s="920" customFormat="1" ht="15">
      <c r="A213" s="921" t="s">
        <v>142</v>
      </c>
      <c r="B213" s="922" t="s">
        <v>143</v>
      </c>
      <c r="C213" s="635">
        <f t="shared" si="64"/>
        <v>0</v>
      </c>
      <c r="D213" s="764"/>
      <c r="E213" s="640">
        <f t="shared" si="66"/>
        <v>0</v>
      </c>
      <c r="F213" s="764"/>
      <c r="G213" s="764"/>
      <c r="H213" s="764"/>
      <c r="I213" s="764"/>
      <c r="J213" s="764"/>
      <c r="K213" s="764"/>
      <c r="L213" s="764"/>
      <c r="M213" s="764"/>
      <c r="N213" s="764"/>
      <c r="O213" s="764"/>
    </row>
    <row r="214" spans="1:15" s="920" customFormat="1" ht="15">
      <c r="A214" s="921" t="s">
        <v>144</v>
      </c>
      <c r="B214" s="922" t="s">
        <v>145</v>
      </c>
      <c r="C214" s="635">
        <f t="shared" si="64"/>
        <v>0</v>
      </c>
      <c r="D214" s="947"/>
      <c r="E214" s="640">
        <f t="shared" si="66"/>
        <v>0</v>
      </c>
      <c r="F214" s="946"/>
      <c r="G214" s="946"/>
      <c r="H214" s="946"/>
      <c r="I214" s="946"/>
      <c r="J214" s="946"/>
      <c r="K214" s="946"/>
      <c r="L214" s="946"/>
      <c r="M214" s="946"/>
      <c r="N214" s="764"/>
      <c r="O214" s="764"/>
    </row>
    <row r="215" spans="1:15" s="920" customFormat="1" ht="30">
      <c r="A215" s="921" t="s">
        <v>146</v>
      </c>
      <c r="B215" s="925" t="s">
        <v>147</v>
      </c>
      <c r="C215" s="635">
        <f t="shared" si="64"/>
        <v>0</v>
      </c>
      <c r="D215" s="947"/>
      <c r="E215" s="640">
        <f>SUM(F215:G215)</f>
        <v>0</v>
      </c>
      <c r="F215" s="946"/>
      <c r="G215" s="946"/>
      <c r="H215" s="946"/>
      <c r="I215" s="946"/>
      <c r="J215" s="946"/>
      <c r="K215" s="946"/>
      <c r="L215" s="946"/>
      <c r="M215" s="946"/>
      <c r="N215" s="764"/>
      <c r="O215" s="764"/>
    </row>
    <row r="216" spans="1:15" s="920" customFormat="1" ht="15">
      <c r="A216" s="921" t="s">
        <v>148</v>
      </c>
      <c r="B216" s="922" t="s">
        <v>149</v>
      </c>
      <c r="C216" s="635">
        <f t="shared" si="64"/>
        <v>0</v>
      </c>
      <c r="D216" s="764"/>
      <c r="E216" s="640">
        <f>SUM(F216:G216)</f>
        <v>0</v>
      </c>
      <c r="F216" s="764"/>
      <c r="G216" s="764"/>
      <c r="H216" s="764"/>
      <c r="I216" s="764"/>
      <c r="J216" s="764"/>
      <c r="K216" s="764"/>
      <c r="L216" s="764"/>
      <c r="M216" s="764"/>
      <c r="N216" s="764"/>
      <c r="O216" s="764"/>
    </row>
    <row r="217" spans="1:15" s="920" customFormat="1" ht="26.25" customHeight="1">
      <c r="A217" s="20" t="s">
        <v>52</v>
      </c>
      <c r="B217" s="923" t="s">
        <v>150</v>
      </c>
      <c r="C217" s="646">
        <f>C203-C206-C207-C209</f>
        <v>1543833</v>
      </c>
      <c r="D217" s="646">
        <f>D208-D209</f>
        <v>1419050</v>
      </c>
      <c r="E217" s="646">
        <f aca="true" t="shared" si="69" ref="E217:O217">E208-E209</f>
        <v>65583</v>
      </c>
      <c r="F217" s="646">
        <f t="shared" si="69"/>
        <v>0</v>
      </c>
      <c r="G217" s="646">
        <f t="shared" si="69"/>
        <v>65583</v>
      </c>
      <c r="H217" s="646">
        <f t="shared" si="69"/>
        <v>0</v>
      </c>
      <c r="I217" s="646">
        <f t="shared" si="69"/>
        <v>59200</v>
      </c>
      <c r="J217" s="646">
        <f t="shared" si="69"/>
        <v>0</v>
      </c>
      <c r="K217" s="646">
        <f t="shared" si="69"/>
        <v>0</v>
      </c>
      <c r="L217" s="646">
        <f t="shared" si="69"/>
        <v>0</v>
      </c>
      <c r="M217" s="646">
        <f t="shared" si="69"/>
        <v>0</v>
      </c>
      <c r="N217" s="646">
        <f t="shared" si="69"/>
        <v>0</v>
      </c>
      <c r="O217" s="646">
        <f t="shared" si="69"/>
        <v>0</v>
      </c>
    </row>
    <row r="218" spans="1:15" s="920" customFormat="1" ht="26.25" customHeight="1">
      <c r="A218" s="926" t="s">
        <v>538</v>
      </c>
      <c r="B218" s="927" t="s">
        <v>731</v>
      </c>
      <c r="C218" s="790">
        <f>(C210+C211)/C209</f>
        <v>0.17961980444719697</v>
      </c>
      <c r="D218" s="790">
        <f aca="true" t="shared" si="70" ref="D218:O218">(D210+D211)/D209</f>
        <v>0.05206706237634073</v>
      </c>
      <c r="E218" s="790">
        <f t="shared" si="70"/>
        <v>0.20883534136546184</v>
      </c>
      <c r="F218" s="790" t="e">
        <f t="shared" si="70"/>
        <v>#DIV/0!</v>
      </c>
      <c r="G218" s="790">
        <f t="shared" si="70"/>
        <v>0.20883534136546184</v>
      </c>
      <c r="H218" s="790" t="e">
        <f t="shared" si="70"/>
        <v>#DIV/0!</v>
      </c>
      <c r="I218" s="790">
        <f t="shared" si="70"/>
        <v>0.7589024513265409</v>
      </c>
      <c r="J218" s="790" t="e">
        <f t="shared" si="70"/>
        <v>#DIV/0!</v>
      </c>
      <c r="K218" s="790" t="e">
        <f t="shared" si="70"/>
        <v>#DIV/0!</v>
      </c>
      <c r="L218" s="790" t="e">
        <f t="shared" si="70"/>
        <v>#DIV/0!</v>
      </c>
      <c r="M218" s="790" t="e">
        <f t="shared" si="70"/>
        <v>#DIV/0!</v>
      </c>
      <c r="N218" s="790" t="e">
        <f t="shared" si="70"/>
        <v>#DIV/0!</v>
      </c>
      <c r="O218" s="790" t="e">
        <f t="shared" si="70"/>
        <v>#DIV/0!</v>
      </c>
    </row>
  </sheetData>
  <sheetProtection/>
  <mergeCells count="155">
    <mergeCell ref="M7:M9"/>
    <mergeCell ref="P8:Q8"/>
    <mergeCell ref="A10:B10"/>
    <mergeCell ref="C6:C9"/>
    <mergeCell ref="D6:O6"/>
    <mergeCell ref="D7:D9"/>
    <mergeCell ref="E7:G7"/>
    <mergeCell ref="J7:J9"/>
    <mergeCell ref="K7:K9"/>
    <mergeCell ref="L7:L9"/>
    <mergeCell ref="I7:I9"/>
    <mergeCell ref="E8:E9"/>
    <mergeCell ref="F8:G8"/>
    <mergeCell ref="A2:C2"/>
    <mergeCell ref="D2:K2"/>
    <mergeCell ref="D3:K3"/>
    <mergeCell ref="A3:B3"/>
    <mergeCell ref="O7:O9"/>
    <mergeCell ref="D1:K1"/>
    <mergeCell ref="A6:B9"/>
    <mergeCell ref="N7:N9"/>
    <mergeCell ref="H7:H9"/>
    <mergeCell ref="A1:B1"/>
    <mergeCell ref="L1:O1"/>
    <mergeCell ref="L2:O2"/>
    <mergeCell ref="L3:O3"/>
    <mergeCell ref="L4:O4"/>
    <mergeCell ref="M35:M37"/>
    <mergeCell ref="N35:N37"/>
    <mergeCell ref="E35:G35"/>
    <mergeCell ref="H35:H37"/>
    <mergeCell ref="I35:I37"/>
    <mergeCell ref="J35:J37"/>
    <mergeCell ref="O35:O37"/>
    <mergeCell ref="E36:E37"/>
    <mergeCell ref="F36:G36"/>
    <mergeCell ref="A38:B38"/>
    <mergeCell ref="A34:B37"/>
    <mergeCell ref="C34:C37"/>
    <mergeCell ref="D34:O34"/>
    <mergeCell ref="D35:D37"/>
    <mergeCell ref="K35:K37"/>
    <mergeCell ref="L35:L37"/>
    <mergeCell ref="M59:M61"/>
    <mergeCell ref="N59:N61"/>
    <mergeCell ref="E59:G59"/>
    <mergeCell ref="H59:H61"/>
    <mergeCell ref="I59:I61"/>
    <mergeCell ref="J59:J61"/>
    <mergeCell ref="O59:O61"/>
    <mergeCell ref="E60:E61"/>
    <mergeCell ref="F60:G60"/>
    <mergeCell ref="A62:B62"/>
    <mergeCell ref="A58:B61"/>
    <mergeCell ref="C58:C61"/>
    <mergeCell ref="D58:O58"/>
    <mergeCell ref="D59:D61"/>
    <mergeCell ref="K59:K61"/>
    <mergeCell ref="L59:L61"/>
    <mergeCell ref="M82:M84"/>
    <mergeCell ref="N82:N84"/>
    <mergeCell ref="E82:G82"/>
    <mergeCell ref="H82:H84"/>
    <mergeCell ref="I82:I84"/>
    <mergeCell ref="J82:J84"/>
    <mergeCell ref="O82:O84"/>
    <mergeCell ref="E83:E84"/>
    <mergeCell ref="F83:G83"/>
    <mergeCell ref="A85:B85"/>
    <mergeCell ref="A81:B84"/>
    <mergeCell ref="C81:C84"/>
    <mergeCell ref="D81:O81"/>
    <mergeCell ref="D82:D84"/>
    <mergeCell ref="K82:K84"/>
    <mergeCell ref="L82:L84"/>
    <mergeCell ref="M106:M108"/>
    <mergeCell ref="N106:N108"/>
    <mergeCell ref="E106:G106"/>
    <mergeCell ref="H106:H108"/>
    <mergeCell ref="I106:I108"/>
    <mergeCell ref="J106:J108"/>
    <mergeCell ref="O106:O108"/>
    <mergeCell ref="E107:E108"/>
    <mergeCell ref="F107:G107"/>
    <mergeCell ref="A109:B109"/>
    <mergeCell ref="A105:B108"/>
    <mergeCell ref="C105:C108"/>
    <mergeCell ref="D105:O105"/>
    <mergeCell ref="D106:D108"/>
    <mergeCell ref="K106:K108"/>
    <mergeCell ref="L106:L108"/>
    <mergeCell ref="M130:M132"/>
    <mergeCell ref="N130:N132"/>
    <mergeCell ref="E130:G130"/>
    <mergeCell ref="H130:H132"/>
    <mergeCell ref="I130:I132"/>
    <mergeCell ref="J130:J132"/>
    <mergeCell ref="O130:O132"/>
    <mergeCell ref="E131:E132"/>
    <mergeCell ref="F131:G131"/>
    <mergeCell ref="A133:B133"/>
    <mergeCell ref="A129:B132"/>
    <mergeCell ref="C129:C132"/>
    <mergeCell ref="D129:O129"/>
    <mergeCell ref="D130:D132"/>
    <mergeCell ref="K130:K132"/>
    <mergeCell ref="L130:L132"/>
    <mergeCell ref="M153:M155"/>
    <mergeCell ref="N153:N155"/>
    <mergeCell ref="E153:G153"/>
    <mergeCell ref="H153:H155"/>
    <mergeCell ref="I153:I155"/>
    <mergeCell ref="J153:J155"/>
    <mergeCell ref="O153:O155"/>
    <mergeCell ref="E154:E155"/>
    <mergeCell ref="F154:G154"/>
    <mergeCell ref="A156:B156"/>
    <mergeCell ref="A152:B155"/>
    <mergeCell ref="C152:C155"/>
    <mergeCell ref="D152:O152"/>
    <mergeCell ref="D153:D155"/>
    <mergeCell ref="K153:K155"/>
    <mergeCell ref="L153:L155"/>
    <mergeCell ref="M176:M178"/>
    <mergeCell ref="N176:N178"/>
    <mergeCell ref="E176:G176"/>
    <mergeCell ref="H176:H178"/>
    <mergeCell ref="I176:I178"/>
    <mergeCell ref="J176:J178"/>
    <mergeCell ref="O176:O178"/>
    <mergeCell ref="E177:E178"/>
    <mergeCell ref="F177:G177"/>
    <mergeCell ref="A179:B179"/>
    <mergeCell ref="A175:B178"/>
    <mergeCell ref="C175:C178"/>
    <mergeCell ref="D175:O175"/>
    <mergeCell ref="D176:D178"/>
    <mergeCell ref="K176:K178"/>
    <mergeCell ref="L176:L178"/>
    <mergeCell ref="M199:M201"/>
    <mergeCell ref="N199:N201"/>
    <mergeCell ref="E199:G199"/>
    <mergeCell ref="H199:H201"/>
    <mergeCell ref="I199:I201"/>
    <mergeCell ref="J199:J201"/>
    <mergeCell ref="O199:O201"/>
    <mergeCell ref="E200:E201"/>
    <mergeCell ref="F200:G200"/>
    <mergeCell ref="A202:B202"/>
    <mergeCell ref="A198:B201"/>
    <mergeCell ref="C198:C201"/>
    <mergeCell ref="D198:O198"/>
    <mergeCell ref="D199:D201"/>
    <mergeCell ref="K199:K201"/>
    <mergeCell ref="L199:L201"/>
  </mergeCells>
  <printOptions/>
  <pageMargins left="0.2" right="0" top="0.25" bottom="0" header="0.36" footer="0.27"/>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1003" t="s">
        <v>35</v>
      </c>
      <c r="B1" s="1003"/>
      <c r="C1" s="1003"/>
      <c r="D1" s="1003"/>
      <c r="E1" s="1002" t="s">
        <v>480</v>
      </c>
      <c r="F1" s="1002"/>
      <c r="G1" s="1002"/>
      <c r="H1" s="1002"/>
      <c r="I1" s="1002"/>
      <c r="J1" s="1002"/>
      <c r="K1" s="1002"/>
      <c r="L1" s="40" t="s">
        <v>456</v>
      </c>
      <c r="M1" s="40"/>
      <c r="N1" s="40"/>
      <c r="O1" s="41"/>
      <c r="P1" s="41"/>
    </row>
    <row r="2" spans="1:16" ht="15.75" customHeight="1">
      <c r="A2" s="1005" t="s">
        <v>342</v>
      </c>
      <c r="B2" s="1005"/>
      <c r="C2" s="1005"/>
      <c r="D2" s="1005"/>
      <c r="E2" s="1002"/>
      <c r="F2" s="1002"/>
      <c r="G2" s="1002"/>
      <c r="H2" s="1002"/>
      <c r="I2" s="1002"/>
      <c r="J2" s="1002"/>
      <c r="K2" s="1002"/>
      <c r="L2" s="983" t="s">
        <v>359</v>
      </c>
      <c r="M2" s="983"/>
      <c r="N2" s="983"/>
      <c r="O2" s="44"/>
      <c r="P2" s="41"/>
    </row>
    <row r="3" spans="1:16" ht="18" customHeight="1">
      <c r="A3" s="1005" t="s">
        <v>343</v>
      </c>
      <c r="B3" s="1005"/>
      <c r="C3" s="1005"/>
      <c r="D3" s="1005"/>
      <c r="E3" s="1004" t="s">
        <v>476</v>
      </c>
      <c r="F3" s="1004"/>
      <c r="G3" s="1004"/>
      <c r="H3" s="1004"/>
      <c r="I3" s="1004"/>
      <c r="J3" s="1004"/>
      <c r="K3" s="45"/>
      <c r="L3" s="984" t="s">
        <v>475</v>
      </c>
      <c r="M3" s="984"/>
      <c r="N3" s="984"/>
      <c r="O3" s="41"/>
      <c r="P3" s="41"/>
    </row>
    <row r="4" spans="1:16" ht="21" customHeight="1">
      <c r="A4" s="1001" t="s">
        <v>362</v>
      </c>
      <c r="B4" s="1001"/>
      <c r="C4" s="1001"/>
      <c r="D4" s="1001"/>
      <c r="E4" s="48"/>
      <c r="F4" s="49"/>
      <c r="G4" s="50"/>
      <c r="H4" s="50"/>
      <c r="I4" s="50"/>
      <c r="J4" s="50"/>
      <c r="K4" s="41"/>
      <c r="L4" s="983" t="s">
        <v>354</v>
      </c>
      <c r="M4" s="983"/>
      <c r="N4" s="983"/>
      <c r="O4" s="44"/>
      <c r="P4" s="41"/>
    </row>
    <row r="5" spans="1:16" ht="18" customHeight="1">
      <c r="A5" s="50"/>
      <c r="B5" s="41"/>
      <c r="C5" s="51"/>
      <c r="D5" s="999"/>
      <c r="E5" s="999"/>
      <c r="F5" s="999"/>
      <c r="G5" s="999"/>
      <c r="H5" s="999"/>
      <c r="I5" s="999"/>
      <c r="J5" s="999"/>
      <c r="K5" s="999"/>
      <c r="L5" s="52" t="s">
        <v>363</v>
      </c>
      <c r="M5" s="52"/>
      <c r="N5" s="52"/>
      <c r="O5" s="41"/>
      <c r="P5" s="41"/>
    </row>
    <row r="6" spans="1:18" ht="33" customHeight="1">
      <c r="A6" s="1011" t="s">
        <v>71</v>
      </c>
      <c r="B6" s="1012"/>
      <c r="C6" s="1000" t="s">
        <v>364</v>
      </c>
      <c r="D6" s="1000"/>
      <c r="E6" s="1000"/>
      <c r="F6" s="1000"/>
      <c r="G6" s="985" t="s">
        <v>7</v>
      </c>
      <c r="H6" s="986"/>
      <c r="I6" s="986"/>
      <c r="J6" s="986"/>
      <c r="K6" s="986"/>
      <c r="L6" s="986"/>
      <c r="M6" s="986"/>
      <c r="N6" s="987"/>
      <c r="O6" s="991" t="s">
        <v>365</v>
      </c>
      <c r="P6" s="992"/>
      <c r="Q6" s="992"/>
      <c r="R6" s="993"/>
    </row>
    <row r="7" spans="1:18" ht="29.25" customHeight="1">
      <c r="A7" s="1013"/>
      <c r="B7" s="1014"/>
      <c r="C7" s="1000"/>
      <c r="D7" s="1000"/>
      <c r="E7" s="1000"/>
      <c r="F7" s="1000"/>
      <c r="G7" s="985" t="s">
        <v>366</v>
      </c>
      <c r="H7" s="986"/>
      <c r="I7" s="986"/>
      <c r="J7" s="987"/>
      <c r="K7" s="985" t="s">
        <v>109</v>
      </c>
      <c r="L7" s="986"/>
      <c r="M7" s="986"/>
      <c r="N7" s="987"/>
      <c r="O7" s="54" t="s">
        <v>367</v>
      </c>
      <c r="P7" s="54" t="s">
        <v>368</v>
      </c>
      <c r="Q7" s="994" t="s">
        <v>369</v>
      </c>
      <c r="R7" s="994" t="s">
        <v>370</v>
      </c>
    </row>
    <row r="8" spans="1:18" ht="26.25" customHeight="1">
      <c r="A8" s="1013"/>
      <c r="B8" s="1014"/>
      <c r="C8" s="988" t="s">
        <v>106</v>
      </c>
      <c r="D8" s="1017"/>
      <c r="E8" s="988" t="s">
        <v>105</v>
      </c>
      <c r="F8" s="1017"/>
      <c r="G8" s="988" t="s">
        <v>107</v>
      </c>
      <c r="H8" s="989"/>
      <c r="I8" s="988" t="s">
        <v>108</v>
      </c>
      <c r="J8" s="989"/>
      <c r="K8" s="988" t="s">
        <v>110</v>
      </c>
      <c r="L8" s="989"/>
      <c r="M8" s="988" t="s">
        <v>111</v>
      </c>
      <c r="N8" s="989"/>
      <c r="O8" s="996" t="s">
        <v>371</v>
      </c>
      <c r="P8" s="997" t="s">
        <v>372</v>
      </c>
      <c r="Q8" s="994"/>
      <c r="R8" s="994"/>
    </row>
    <row r="9" spans="1:18" ht="30.75" customHeight="1">
      <c r="A9" s="1013"/>
      <c r="B9" s="1014"/>
      <c r="C9" s="55" t="s">
        <v>3</v>
      </c>
      <c r="D9" s="53" t="s">
        <v>10</v>
      </c>
      <c r="E9" s="53" t="s">
        <v>3</v>
      </c>
      <c r="F9" s="53" t="s">
        <v>10</v>
      </c>
      <c r="G9" s="56" t="s">
        <v>3</v>
      </c>
      <c r="H9" s="56" t="s">
        <v>10</v>
      </c>
      <c r="I9" s="56" t="s">
        <v>3</v>
      </c>
      <c r="J9" s="56" t="s">
        <v>10</v>
      </c>
      <c r="K9" s="56" t="s">
        <v>3</v>
      </c>
      <c r="L9" s="56" t="s">
        <v>10</v>
      </c>
      <c r="M9" s="56" t="s">
        <v>3</v>
      </c>
      <c r="N9" s="56" t="s">
        <v>10</v>
      </c>
      <c r="O9" s="996"/>
      <c r="P9" s="998"/>
      <c r="Q9" s="995"/>
      <c r="R9" s="995"/>
    </row>
    <row r="10" spans="1:18" s="61" customFormat="1" ht="18" customHeight="1">
      <c r="A10" s="1010" t="s">
        <v>6</v>
      </c>
      <c r="B10" s="1010"/>
      <c r="C10" s="57">
        <v>1</v>
      </c>
      <c r="D10" s="57">
        <v>2</v>
      </c>
      <c r="E10" s="57">
        <v>3</v>
      </c>
      <c r="F10" s="57">
        <v>4</v>
      </c>
      <c r="G10" s="57">
        <v>5</v>
      </c>
      <c r="H10" s="57">
        <v>6</v>
      </c>
      <c r="I10" s="57">
        <v>7</v>
      </c>
      <c r="J10" s="57">
        <v>8</v>
      </c>
      <c r="K10" s="57">
        <v>9</v>
      </c>
      <c r="L10" s="57">
        <v>10</v>
      </c>
      <c r="M10" s="57">
        <v>11</v>
      </c>
      <c r="N10" s="57">
        <v>12</v>
      </c>
      <c r="O10" s="58" t="s">
        <v>103</v>
      </c>
      <c r="P10" s="58" t="s">
        <v>104</v>
      </c>
      <c r="Q10" s="59"/>
      <c r="R10" s="60"/>
    </row>
    <row r="11" spans="1:18" s="61" customFormat="1" ht="18" customHeight="1" hidden="1">
      <c r="A11" s="1006" t="s">
        <v>373</v>
      </c>
      <c r="B11" s="1007"/>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1008" t="s">
        <v>477</v>
      </c>
      <c r="B12" s="1009"/>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1020" t="s">
        <v>37</v>
      </c>
      <c r="B13" s="1021"/>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374</v>
      </c>
    </row>
    <row r="14" spans="1:37" s="61" customFormat="1" ht="18" customHeight="1">
      <c r="A14" s="68" t="s">
        <v>0</v>
      </c>
      <c r="B14" s="69" t="s">
        <v>97</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18</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51</v>
      </c>
      <c r="B16" s="76" t="s">
        <v>375</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52</v>
      </c>
      <c r="B17" s="77" t="s">
        <v>376</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377</v>
      </c>
    </row>
    <row r="18" spans="1:18" s="79" customFormat="1" ht="18" customHeight="1">
      <c r="A18" s="75" t="s">
        <v>57</v>
      </c>
      <c r="B18" s="76" t="s">
        <v>378</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72</v>
      </c>
      <c r="B19" s="76" t="s">
        <v>379</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73</v>
      </c>
      <c r="B20" s="80" t="s">
        <v>380</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74</v>
      </c>
      <c r="B21" s="76" t="s">
        <v>381</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382</v>
      </c>
      <c r="AK21" s="61" t="s">
        <v>383</v>
      </c>
      <c r="AL21" s="61" t="s">
        <v>384</v>
      </c>
      <c r="AM21" s="72" t="s">
        <v>385</v>
      </c>
    </row>
    <row r="22" spans="1:39" s="61" customFormat="1" ht="18" customHeight="1">
      <c r="A22" s="75" t="s">
        <v>75</v>
      </c>
      <c r="B22" s="76" t="s">
        <v>386</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387</v>
      </c>
    </row>
    <row r="23" spans="1:18" s="61" customFormat="1" ht="18" customHeight="1">
      <c r="A23" s="75" t="s">
        <v>76</v>
      </c>
      <c r="B23" s="76" t="s">
        <v>388</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77</v>
      </c>
      <c r="B24" s="76" t="s">
        <v>389</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382</v>
      </c>
    </row>
    <row r="25" spans="1:36" s="61" customFormat="1" ht="18" customHeight="1">
      <c r="A25" s="75" t="s">
        <v>100</v>
      </c>
      <c r="B25" s="76" t="s">
        <v>390</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391</v>
      </c>
    </row>
    <row r="26" spans="1:44" s="61" customFormat="1" ht="18" customHeight="1">
      <c r="A26" s="75" t="s">
        <v>101</v>
      </c>
      <c r="B26" s="76" t="s">
        <v>392</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990" t="s">
        <v>478</v>
      </c>
      <c r="C28" s="990"/>
      <c r="D28" s="990"/>
      <c r="E28" s="990"/>
      <c r="F28" s="84"/>
      <c r="G28" s="85"/>
      <c r="H28" s="85"/>
      <c r="I28" s="85"/>
      <c r="J28" s="990" t="s">
        <v>479</v>
      </c>
      <c r="K28" s="990"/>
      <c r="L28" s="990"/>
      <c r="M28" s="990"/>
      <c r="N28" s="990"/>
      <c r="O28" s="86"/>
      <c r="P28" s="86"/>
      <c r="AG28" s="87" t="s">
        <v>394</v>
      </c>
      <c r="AI28" s="88">
        <f>82/88</f>
        <v>0.9318181818181818</v>
      </c>
    </row>
    <row r="29" spans="1:16" s="94" customFormat="1" ht="19.5" customHeight="1">
      <c r="A29" s="89"/>
      <c r="B29" s="980" t="s">
        <v>42</v>
      </c>
      <c r="C29" s="980"/>
      <c r="D29" s="980"/>
      <c r="E29" s="980"/>
      <c r="F29" s="91"/>
      <c r="G29" s="92"/>
      <c r="H29" s="92"/>
      <c r="I29" s="92"/>
      <c r="J29" s="980" t="s">
        <v>395</v>
      </c>
      <c r="K29" s="980"/>
      <c r="L29" s="980"/>
      <c r="M29" s="980"/>
      <c r="N29" s="980"/>
      <c r="O29" s="93"/>
      <c r="P29" s="93"/>
    </row>
    <row r="30" spans="1:16" s="94" customFormat="1" ht="19.5" customHeight="1">
      <c r="A30" s="89"/>
      <c r="B30" s="1018"/>
      <c r="C30" s="1018"/>
      <c r="D30" s="1018"/>
      <c r="E30" s="91"/>
      <c r="F30" s="91"/>
      <c r="G30" s="92"/>
      <c r="H30" s="92"/>
      <c r="I30" s="92"/>
      <c r="J30" s="1019"/>
      <c r="K30" s="1019"/>
      <c r="L30" s="1019"/>
      <c r="M30" s="1019"/>
      <c r="N30" s="1019"/>
      <c r="O30" s="93"/>
      <c r="P30" s="93"/>
    </row>
    <row r="31" spans="1:16" s="94" customFormat="1" ht="8.25" customHeight="1">
      <c r="A31" s="89"/>
      <c r="B31" s="95"/>
      <c r="C31" s="95" t="s">
        <v>102</v>
      </c>
      <c r="D31" s="95"/>
      <c r="E31" s="96"/>
      <c r="F31" s="96"/>
      <c r="G31" s="97"/>
      <c r="H31" s="97"/>
      <c r="I31" s="97"/>
      <c r="J31" s="95"/>
      <c r="K31" s="95"/>
      <c r="L31" s="95"/>
      <c r="M31" s="95"/>
      <c r="N31" s="95"/>
      <c r="O31" s="93"/>
      <c r="P31" s="93"/>
    </row>
    <row r="32" spans="1:16" s="94" customFormat="1" ht="9" customHeight="1">
      <c r="A32" s="89"/>
      <c r="B32" s="982" t="s">
        <v>396</v>
      </c>
      <c r="C32" s="982"/>
      <c r="D32" s="982"/>
      <c r="E32" s="982"/>
      <c r="F32" s="96"/>
      <c r="G32" s="97"/>
      <c r="H32" s="97"/>
      <c r="I32" s="97"/>
      <c r="J32" s="981" t="s">
        <v>396</v>
      </c>
      <c r="K32" s="981"/>
      <c r="L32" s="981"/>
      <c r="M32" s="981"/>
      <c r="N32" s="981"/>
      <c r="O32" s="93"/>
      <c r="P32" s="93"/>
    </row>
    <row r="33" spans="1:16" s="94" customFormat="1" ht="19.5" customHeight="1">
      <c r="A33" s="89"/>
      <c r="B33" s="980" t="s">
        <v>397</v>
      </c>
      <c r="C33" s="980"/>
      <c r="D33" s="980"/>
      <c r="E33" s="980"/>
      <c r="F33" s="91"/>
      <c r="G33" s="92"/>
      <c r="H33" s="92"/>
      <c r="I33" s="92"/>
      <c r="J33" s="90"/>
      <c r="K33" s="980" t="s">
        <v>397</v>
      </c>
      <c r="L33" s="980"/>
      <c r="M33" s="980"/>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1015" t="s">
        <v>350</v>
      </c>
      <c r="C36" s="1015"/>
      <c r="D36" s="1015"/>
      <c r="E36" s="1015"/>
      <c r="F36" s="100"/>
      <c r="G36" s="100"/>
      <c r="H36" s="100"/>
      <c r="I36" s="100"/>
      <c r="J36" s="1016" t="s">
        <v>351</v>
      </c>
      <c r="K36" s="1016"/>
      <c r="L36" s="1016"/>
      <c r="M36" s="1016"/>
      <c r="N36" s="1016"/>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6:E36"/>
    <mergeCell ref="J36:N36"/>
    <mergeCell ref="B29:E29"/>
    <mergeCell ref="E8:F8"/>
    <mergeCell ref="G8:H8"/>
    <mergeCell ref="C8:D8"/>
    <mergeCell ref="B30:D30"/>
    <mergeCell ref="J30:N30"/>
    <mergeCell ref="A13:B13"/>
    <mergeCell ref="B28:E28"/>
    <mergeCell ref="A11:B11"/>
    <mergeCell ref="A12:B12"/>
    <mergeCell ref="A10:B10"/>
    <mergeCell ref="A6:B9"/>
    <mergeCell ref="G6:N6"/>
    <mergeCell ref="I8:J8"/>
    <mergeCell ref="M8:N8"/>
    <mergeCell ref="K7:N7"/>
    <mergeCell ref="D5:K5"/>
    <mergeCell ref="C6:F7"/>
    <mergeCell ref="A4:D4"/>
    <mergeCell ref="E1:K2"/>
    <mergeCell ref="A1:D1"/>
    <mergeCell ref="E3:J3"/>
    <mergeCell ref="A3:D3"/>
    <mergeCell ref="A2:D2"/>
    <mergeCell ref="L4:N4"/>
    <mergeCell ref="O6:R6"/>
    <mergeCell ref="R7:R9"/>
    <mergeCell ref="Q7:Q9"/>
    <mergeCell ref="O8:O9"/>
    <mergeCell ref="P8:P9"/>
    <mergeCell ref="B33:E33"/>
    <mergeCell ref="K33:M33"/>
    <mergeCell ref="J32:N32"/>
    <mergeCell ref="B32:E32"/>
    <mergeCell ref="L2:N2"/>
    <mergeCell ref="L3:N3"/>
    <mergeCell ref="G7:J7"/>
    <mergeCell ref="K8:L8"/>
    <mergeCell ref="J28:N28"/>
    <mergeCell ref="J29:N29"/>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E40"/>
  <sheetViews>
    <sheetView showZeros="0" zoomScale="80" zoomScaleNormal="80" zoomScaleSheetLayoutView="85" zoomScalePageLayoutView="0" workbookViewId="0" topLeftCell="A16">
      <selection activeCell="C24" sqref="C24"/>
    </sheetView>
  </sheetViews>
  <sheetFormatPr defaultColWidth="9.00390625" defaultRowHeight="15.75"/>
  <cols>
    <col min="1" max="1" width="4.25390625" style="422" customWidth="1"/>
    <col min="2" max="2" width="46.375" style="422" customWidth="1"/>
    <col min="3" max="3" width="40.00390625" style="422" customWidth="1"/>
    <col min="4" max="16384" width="9.00390625" style="422" customWidth="1"/>
  </cols>
  <sheetData>
    <row r="1" spans="1:3" s="434" customFormat="1" ht="36" customHeight="1">
      <c r="A1" s="1307" t="s">
        <v>204</v>
      </c>
      <c r="B1" s="1308"/>
      <c r="C1" s="1308"/>
    </row>
    <row r="2" spans="1:3" s="470" customFormat="1" ht="19.5" customHeight="1">
      <c r="A2" s="1309" t="s">
        <v>69</v>
      </c>
      <c r="B2" s="1310"/>
      <c r="C2" s="469" t="s">
        <v>340</v>
      </c>
    </row>
    <row r="3" spans="1:3" s="442" customFormat="1" ht="18.75" customHeight="1">
      <c r="A3" s="1320" t="s">
        <v>6</v>
      </c>
      <c r="B3" s="1321"/>
      <c r="C3" s="439">
        <v>1</v>
      </c>
    </row>
    <row r="4" spans="1:3" s="442" customFormat="1" ht="19.5" customHeight="1">
      <c r="A4" s="439" t="s">
        <v>51</v>
      </c>
      <c r="B4" s="519" t="s">
        <v>555</v>
      </c>
      <c r="C4" s="401">
        <f>C5+C6+C7+C8+C9+C10+C11+C12+C13</f>
        <v>16476540</v>
      </c>
    </row>
    <row r="5" spans="1:3" s="26" customFormat="1" ht="19.5" customHeight="1">
      <c r="A5" s="443" t="s">
        <v>53</v>
      </c>
      <c r="B5" s="520" t="s">
        <v>167</v>
      </c>
      <c r="C5" s="405"/>
    </row>
    <row r="6" spans="1:3" s="26" customFormat="1" ht="19.5" customHeight="1">
      <c r="A6" s="444" t="s">
        <v>54</v>
      </c>
      <c r="B6" s="520" t="s">
        <v>169</v>
      </c>
      <c r="C6" s="405"/>
    </row>
    <row r="7" spans="1:5" s="26" customFormat="1" ht="19.5" customHeight="1">
      <c r="A7" s="444" t="s">
        <v>140</v>
      </c>
      <c r="B7" s="520" t="s">
        <v>179</v>
      </c>
      <c r="C7" s="405"/>
      <c r="E7" s="26" t="s">
        <v>713</v>
      </c>
    </row>
    <row r="8" spans="1:3" s="26" customFormat="1" ht="19.5" customHeight="1">
      <c r="A8" s="444" t="s">
        <v>142</v>
      </c>
      <c r="B8" s="520" t="s">
        <v>171</v>
      </c>
      <c r="C8" s="405">
        <f>1388726+14802614+285200</f>
        <v>16476540</v>
      </c>
    </row>
    <row r="9" spans="1:3" s="26" customFormat="1" ht="19.5" customHeight="1">
      <c r="A9" s="444" t="s">
        <v>144</v>
      </c>
      <c r="B9" s="520" t="s">
        <v>155</v>
      </c>
      <c r="C9" s="405"/>
    </row>
    <row r="10" spans="1:3" s="26" customFormat="1" ht="19.5" customHeight="1">
      <c r="A10" s="444" t="s">
        <v>146</v>
      </c>
      <c r="B10" s="520" t="s">
        <v>184</v>
      </c>
      <c r="C10" s="405"/>
    </row>
    <row r="11" spans="1:3" s="26" customFormat="1" ht="19.5" customHeight="1">
      <c r="A11" s="444" t="s">
        <v>148</v>
      </c>
      <c r="B11" s="520" t="s">
        <v>157</v>
      </c>
      <c r="C11" s="405"/>
    </row>
    <row r="12" spans="1:3" s="445" customFormat="1" ht="19.5" customHeight="1">
      <c r="A12" s="444" t="s">
        <v>185</v>
      </c>
      <c r="B12" s="520" t="s">
        <v>186</v>
      </c>
      <c r="C12" s="405"/>
    </row>
    <row r="13" spans="1:3" s="445" customFormat="1" ht="19.5" customHeight="1">
      <c r="A13" s="444" t="s">
        <v>558</v>
      </c>
      <c r="B13" s="520" t="s">
        <v>159</v>
      </c>
      <c r="C13" s="405"/>
    </row>
    <row r="14" spans="1:3" s="445" customFormat="1" ht="19.5" customHeight="1">
      <c r="A14" s="439" t="s">
        <v>52</v>
      </c>
      <c r="B14" s="519" t="s">
        <v>556</v>
      </c>
      <c r="C14" s="401">
        <f>C15+C16</f>
        <v>0</v>
      </c>
    </row>
    <row r="15" spans="1:3" s="445" customFormat="1" ht="19.5" customHeight="1">
      <c r="A15" s="443" t="s">
        <v>55</v>
      </c>
      <c r="B15" s="520" t="s">
        <v>187</v>
      </c>
      <c r="C15" s="405"/>
    </row>
    <row r="16" spans="1:3" s="445" customFormat="1" ht="19.5" customHeight="1">
      <c r="A16" s="443" t="s">
        <v>56</v>
      </c>
      <c r="B16" s="520" t="s">
        <v>159</v>
      </c>
      <c r="C16" s="405"/>
    </row>
    <row r="17" spans="1:3" s="442" customFormat="1" ht="19.5" customHeight="1">
      <c r="A17" s="439" t="s">
        <v>57</v>
      </c>
      <c r="B17" s="533" t="s">
        <v>149</v>
      </c>
      <c r="C17" s="401">
        <f>C18+C19+C20</f>
        <v>120000</v>
      </c>
    </row>
    <row r="18" spans="1:3" ht="19.5" customHeight="1">
      <c r="A18" s="443" t="s">
        <v>160</v>
      </c>
      <c r="B18" s="520" t="s">
        <v>188</v>
      </c>
      <c r="C18" s="405"/>
    </row>
    <row r="19" spans="1:3" s="26" customFormat="1" ht="30">
      <c r="A19" s="444" t="s">
        <v>162</v>
      </c>
      <c r="B19" s="520" t="s">
        <v>163</v>
      </c>
      <c r="C19" s="405">
        <f>120000</f>
        <v>120000</v>
      </c>
    </row>
    <row r="20" spans="1:3" s="26" customFormat="1" ht="30.75" customHeight="1">
      <c r="A20" s="444" t="s">
        <v>164</v>
      </c>
      <c r="B20" s="520" t="s">
        <v>165</v>
      </c>
      <c r="C20" s="405"/>
    </row>
    <row r="21" spans="1:3" s="26" customFormat="1" ht="19.5" customHeight="1">
      <c r="A21" s="444" t="s">
        <v>72</v>
      </c>
      <c r="B21" s="519" t="s">
        <v>553</v>
      </c>
      <c r="C21" s="401">
        <f>C22+C23+C24+C25+C26+C27+C28</f>
        <v>745315</v>
      </c>
    </row>
    <row r="22" spans="1:3" s="26" customFormat="1" ht="19.5" customHeight="1">
      <c r="A22" s="444" t="s">
        <v>166</v>
      </c>
      <c r="B22" s="520" t="s">
        <v>167</v>
      </c>
      <c r="C22" s="405">
        <f>17435</f>
        <v>17435</v>
      </c>
    </row>
    <row r="23" spans="1:3" s="26" customFormat="1" ht="19.5" customHeight="1">
      <c r="A23" s="444" t="s">
        <v>168</v>
      </c>
      <c r="B23" s="520" t="s">
        <v>169</v>
      </c>
      <c r="C23" s="405"/>
    </row>
    <row r="24" spans="1:3" s="26" customFormat="1" ht="19.5" customHeight="1">
      <c r="A24" s="444" t="s">
        <v>170</v>
      </c>
      <c r="B24" s="520" t="s">
        <v>189</v>
      </c>
      <c r="C24" s="781">
        <f>85962+2971+627601+11346</f>
        <v>727880</v>
      </c>
    </row>
    <row r="25" spans="1:3" s="26" customFormat="1" ht="19.5" customHeight="1">
      <c r="A25" s="444" t="s">
        <v>172</v>
      </c>
      <c r="B25" s="520" t="s">
        <v>154</v>
      </c>
      <c r="C25" s="781"/>
    </row>
    <row r="26" spans="1:3" s="26" customFormat="1" ht="19.5" customHeight="1">
      <c r="A26" s="444" t="s">
        <v>173</v>
      </c>
      <c r="B26" s="520" t="s">
        <v>190</v>
      </c>
      <c r="C26" s="405"/>
    </row>
    <row r="27" spans="1:3" s="26" customFormat="1" ht="19.5" customHeight="1">
      <c r="A27" s="444" t="s">
        <v>174</v>
      </c>
      <c r="B27" s="520" t="s">
        <v>157</v>
      </c>
      <c r="C27" s="405"/>
    </row>
    <row r="28" spans="1:3" s="26" customFormat="1" ht="19.5" customHeight="1">
      <c r="A28" s="444" t="s">
        <v>191</v>
      </c>
      <c r="B28" s="520" t="s">
        <v>192</v>
      </c>
      <c r="C28" s="405"/>
    </row>
    <row r="29" spans="1:3" s="26" customFormat="1" ht="19.5" customHeight="1">
      <c r="A29" s="439" t="s">
        <v>73</v>
      </c>
      <c r="B29" s="519" t="s">
        <v>557</v>
      </c>
      <c r="C29" s="401">
        <f>C30+C31+C32</f>
        <v>50306694</v>
      </c>
    </row>
    <row r="30" spans="1:3" ht="19.5" customHeight="1">
      <c r="A30" s="444" t="s">
        <v>176</v>
      </c>
      <c r="B30" s="520" t="s">
        <v>167</v>
      </c>
      <c r="C30" s="405">
        <v>50104053</v>
      </c>
    </row>
    <row r="31" spans="1:3" s="26" customFormat="1" ht="19.5" customHeight="1">
      <c r="A31" s="444" t="s">
        <v>177</v>
      </c>
      <c r="B31" s="520" t="s">
        <v>169</v>
      </c>
      <c r="C31" s="405"/>
    </row>
    <row r="32" spans="1:3" s="26" customFormat="1" ht="19.5" customHeight="1">
      <c r="A32" s="444" t="s">
        <v>178</v>
      </c>
      <c r="B32" s="520" t="s">
        <v>189</v>
      </c>
      <c r="C32" s="405">
        <f>202641</f>
        <v>202641</v>
      </c>
    </row>
    <row r="33" spans="1:3" s="26" customFormat="1" ht="15.75">
      <c r="A33" s="446"/>
      <c r="B33" s="447"/>
      <c r="C33" s="447"/>
    </row>
    <row r="34" spans="1:3" s="407" customFormat="1" ht="18.75">
      <c r="A34" s="1326" t="str">
        <f>'Thong tin'!B8</f>
        <v>Tuyên Quang, ngày 05 tháng 01 năm 2018</v>
      </c>
      <c r="B34" s="1326"/>
      <c r="C34" s="1326"/>
    </row>
    <row r="35" spans="1:3" s="471" customFormat="1" ht="18.75">
      <c r="A35" s="1306" t="s">
        <v>4</v>
      </c>
      <c r="B35" s="1306"/>
      <c r="C35" s="521" t="str">
        <f>'Thong tin'!B7</f>
        <v>CỤC TRƯỞNG</v>
      </c>
    </row>
    <row r="36" spans="1:3" s="407" customFormat="1" ht="18.75">
      <c r="A36" s="541"/>
      <c r="B36" s="523"/>
      <c r="C36" s="523"/>
    </row>
    <row r="37" spans="1:3" s="407" customFormat="1" ht="18.75">
      <c r="A37" s="522"/>
      <c r="B37" s="523"/>
      <c r="C37" s="523"/>
    </row>
    <row r="38" spans="1:3" s="407" customFormat="1" ht="15.75">
      <c r="A38" s="522"/>
      <c r="B38" s="522"/>
      <c r="C38" s="522"/>
    </row>
    <row r="39" spans="1:3" ht="15.75">
      <c r="A39" s="525"/>
      <c r="B39" s="526"/>
      <c r="C39" s="527"/>
    </row>
    <row r="40" spans="1:3" s="442" customFormat="1" ht="18.75">
      <c r="A40" s="1305" t="str">
        <f>'Thong tin'!B5</f>
        <v>Duy Thị Thúy</v>
      </c>
      <c r="B40" s="1305"/>
      <c r="C40" s="529" t="str">
        <f>'Thong tin'!B6</f>
        <v>Nguyễn Tuyên </v>
      </c>
    </row>
  </sheetData>
  <sheetProtection/>
  <mergeCells count="6">
    <mergeCell ref="A2:B2"/>
    <mergeCell ref="A1:C1"/>
    <mergeCell ref="A3:B3"/>
    <mergeCell ref="A40:B40"/>
    <mergeCell ref="A35:B35"/>
    <mergeCell ref="A34:C34"/>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S240"/>
  <sheetViews>
    <sheetView showZeros="0" zoomScale="80" zoomScaleNormal="80" zoomScaleSheetLayoutView="85" zoomScalePageLayoutView="0" workbookViewId="0" topLeftCell="A9">
      <selection activeCell="E250" sqref="E250"/>
    </sheetView>
  </sheetViews>
  <sheetFormatPr defaultColWidth="9.00390625" defaultRowHeight="15.75"/>
  <cols>
    <col min="1" max="1" width="6.75390625" style="475" customWidth="1"/>
    <col min="2" max="2" width="23.25390625" style="475" customWidth="1"/>
    <col min="3" max="3" width="12.625" style="475" customWidth="1"/>
    <col min="4" max="4" width="12.125" style="475" customWidth="1"/>
    <col min="5" max="5" width="9.375" style="475" customWidth="1"/>
    <col min="6" max="7" width="11.50390625" style="475" customWidth="1"/>
    <col min="8" max="8" width="10.75390625" style="475" customWidth="1"/>
    <col min="9" max="9" width="11.50390625" style="475" customWidth="1"/>
    <col min="10" max="10" width="11.25390625" style="475" customWidth="1"/>
    <col min="11" max="11" width="15.875" style="475" customWidth="1"/>
    <col min="12" max="12" width="13.375" style="475" customWidth="1"/>
    <col min="13" max="13" width="11.375" style="474" hidden="1" customWidth="1"/>
    <col min="14" max="14" width="18.125" style="474" hidden="1" customWidth="1"/>
    <col min="15" max="15" width="10.875" style="474" hidden="1" customWidth="1"/>
    <col min="16" max="16" width="13.25390625" style="474" hidden="1" customWidth="1"/>
    <col min="17" max="17" width="0" style="474" hidden="1" customWidth="1"/>
    <col min="18" max="18" width="9.50390625" style="474" hidden="1" customWidth="1"/>
    <col min="19" max="16384" width="9.00390625" style="475" customWidth="1"/>
  </cols>
  <sheetData>
    <row r="1" spans="1:13" ht="21" customHeight="1">
      <c r="A1" s="1338" t="s">
        <v>32</v>
      </c>
      <c r="B1" s="1339"/>
      <c r="C1" s="472"/>
      <c r="D1" s="1340" t="s">
        <v>78</v>
      </c>
      <c r="E1" s="1340"/>
      <c r="F1" s="1340"/>
      <c r="G1" s="1340"/>
      <c r="H1" s="1340"/>
      <c r="I1" s="1340"/>
      <c r="J1" s="1340"/>
      <c r="K1" s="1342" t="s">
        <v>540</v>
      </c>
      <c r="L1" s="1342"/>
      <c r="M1" s="473"/>
    </row>
    <row r="2" spans="1:13" ht="16.5" customHeight="1">
      <c r="A2" s="1315" t="s">
        <v>342</v>
      </c>
      <c r="B2" s="1315"/>
      <c r="C2" s="1315"/>
      <c r="D2" s="1340" t="s">
        <v>214</v>
      </c>
      <c r="E2" s="1340"/>
      <c r="F2" s="1340"/>
      <c r="G2" s="1340"/>
      <c r="H2" s="1340"/>
      <c r="I2" s="1340"/>
      <c r="J2" s="1340"/>
      <c r="K2" s="1347" t="str">
        <f>'Thong tin'!B4</f>
        <v>Cục THADS tỉnh Tuyên Quang</v>
      </c>
      <c r="L2" s="1347"/>
      <c r="M2" s="476"/>
    </row>
    <row r="3" spans="1:13" ht="16.5" customHeight="1">
      <c r="A3" s="1315" t="s">
        <v>343</v>
      </c>
      <c r="B3" s="1315"/>
      <c r="C3" s="413"/>
      <c r="D3" s="1341" t="str">
        <f>'Thong tin'!B3</f>
        <v>03 tháng / năm 2018</v>
      </c>
      <c r="E3" s="1341"/>
      <c r="F3" s="1341"/>
      <c r="G3" s="1341"/>
      <c r="H3" s="1341"/>
      <c r="I3" s="1341"/>
      <c r="J3" s="1341"/>
      <c r="K3" s="1342" t="s">
        <v>507</v>
      </c>
      <c r="L3" s="1342"/>
      <c r="M3" s="473"/>
    </row>
    <row r="4" spans="1:13" ht="13.5" customHeight="1">
      <c r="A4" s="432" t="s">
        <v>118</v>
      </c>
      <c r="B4" s="432"/>
      <c r="C4" s="419"/>
      <c r="D4" s="477"/>
      <c r="E4" s="477"/>
      <c r="F4" s="478"/>
      <c r="G4" s="478"/>
      <c r="H4" s="478"/>
      <c r="I4" s="478"/>
      <c r="J4" s="478"/>
      <c r="K4" s="1347" t="s">
        <v>410</v>
      </c>
      <c r="L4" s="1347"/>
      <c r="M4" s="476"/>
    </row>
    <row r="5" spans="1:13" ht="14.25" customHeight="1">
      <c r="A5" s="477"/>
      <c r="B5" s="477" t="s">
        <v>93</v>
      </c>
      <c r="C5" s="477"/>
      <c r="D5" s="477"/>
      <c r="E5" s="1337" t="s">
        <v>506</v>
      </c>
      <c r="F5" s="1337"/>
      <c r="G5" s="1337"/>
      <c r="H5" s="1337"/>
      <c r="I5" s="1337"/>
      <c r="J5" s="477"/>
      <c r="K5" s="1348" t="s">
        <v>194</v>
      </c>
      <c r="L5" s="1348"/>
      <c r="M5" s="473"/>
    </row>
    <row r="6" spans="1:16" ht="20.25" customHeight="1">
      <c r="A6" s="957" t="s">
        <v>70</v>
      </c>
      <c r="B6" s="958"/>
      <c r="C6" s="1329" t="s">
        <v>37</v>
      </c>
      <c r="D6" s="1349" t="s">
        <v>337</v>
      </c>
      <c r="E6" s="1349"/>
      <c r="F6" s="1349"/>
      <c r="G6" s="1349"/>
      <c r="H6" s="1349"/>
      <c r="I6" s="1349"/>
      <c r="J6" s="1349"/>
      <c r="K6" s="1349"/>
      <c r="L6" s="1349"/>
      <c r="M6" s="476"/>
      <c r="N6" s="1359" t="s">
        <v>505</v>
      </c>
      <c r="O6" s="1359"/>
      <c r="P6" s="1359"/>
    </row>
    <row r="7" spans="1:13" ht="20.25" customHeight="1">
      <c r="A7" s="959"/>
      <c r="B7" s="960"/>
      <c r="C7" s="1329"/>
      <c r="D7" s="1350" t="s">
        <v>205</v>
      </c>
      <c r="E7" s="1351"/>
      <c r="F7" s="1351"/>
      <c r="G7" s="1351"/>
      <c r="H7" s="1351"/>
      <c r="I7" s="1351"/>
      <c r="J7" s="1352"/>
      <c r="K7" s="1353" t="s">
        <v>206</v>
      </c>
      <c r="L7" s="1353" t="s">
        <v>207</v>
      </c>
      <c r="M7" s="473"/>
    </row>
    <row r="8" spans="1:13" ht="20.25" customHeight="1">
      <c r="A8" s="959"/>
      <c r="B8" s="960"/>
      <c r="C8" s="1329"/>
      <c r="D8" s="1330" t="s">
        <v>36</v>
      </c>
      <c r="E8" s="1344" t="s">
        <v>7</v>
      </c>
      <c r="F8" s="1345"/>
      <c r="G8" s="1345"/>
      <c r="H8" s="1345"/>
      <c r="I8" s="1345"/>
      <c r="J8" s="1346"/>
      <c r="K8" s="1354"/>
      <c r="L8" s="1356"/>
      <c r="M8" s="473"/>
    </row>
    <row r="9" spans="1:16" ht="20.25" customHeight="1">
      <c r="A9" s="1333"/>
      <c r="B9" s="1334"/>
      <c r="C9" s="1329"/>
      <c r="D9" s="1330"/>
      <c r="E9" s="549" t="s">
        <v>208</v>
      </c>
      <c r="F9" s="549" t="s">
        <v>209</v>
      </c>
      <c r="G9" s="549" t="s">
        <v>210</v>
      </c>
      <c r="H9" s="549" t="s">
        <v>211</v>
      </c>
      <c r="I9" s="549" t="s">
        <v>344</v>
      </c>
      <c r="J9" s="549" t="s">
        <v>212</v>
      </c>
      <c r="K9" s="1355"/>
      <c r="L9" s="1357"/>
      <c r="M9" s="1327" t="s">
        <v>498</v>
      </c>
      <c r="N9" s="1327"/>
      <c r="O9" s="1327"/>
      <c r="P9" s="1327"/>
    </row>
    <row r="10" spans="1:18" s="484" customFormat="1" ht="16.5" customHeight="1">
      <c r="A10" s="1331" t="s">
        <v>6</v>
      </c>
      <c r="B10" s="1332"/>
      <c r="C10" s="479">
        <v>1</v>
      </c>
      <c r="D10" s="480">
        <v>2</v>
      </c>
      <c r="E10" s="479">
        <v>3</v>
      </c>
      <c r="F10" s="480">
        <v>4</v>
      </c>
      <c r="G10" s="479">
        <v>5</v>
      </c>
      <c r="H10" s="480">
        <v>6</v>
      </c>
      <c r="I10" s="479">
        <v>7</v>
      </c>
      <c r="J10" s="480">
        <v>8</v>
      </c>
      <c r="K10" s="479">
        <v>9</v>
      </c>
      <c r="L10" s="480">
        <v>10</v>
      </c>
      <c r="M10" s="481" t="s">
        <v>499</v>
      </c>
      <c r="N10" s="482" t="s">
        <v>502</v>
      </c>
      <c r="O10" s="482" t="s">
        <v>500</v>
      </c>
      <c r="P10" s="482" t="s">
        <v>501</v>
      </c>
      <c r="Q10" s="483"/>
      <c r="R10" s="483"/>
    </row>
    <row r="11" spans="1:18" s="485" customFormat="1" ht="19.5" customHeight="1">
      <c r="A11" s="504" t="s">
        <v>0</v>
      </c>
      <c r="B11" s="426" t="s">
        <v>130</v>
      </c>
      <c r="C11" s="792">
        <f>D11+K11+L11</f>
        <v>108990213</v>
      </c>
      <c r="D11" s="792">
        <f>E11+F11+G11+H11+I11+J11</f>
        <v>13070674</v>
      </c>
      <c r="E11" s="792">
        <f aca="true" t="shared" si="0" ref="E11:L11">E12+E13</f>
        <v>3669314</v>
      </c>
      <c r="F11" s="792">
        <f t="shared" si="0"/>
        <v>800</v>
      </c>
      <c r="G11" s="792">
        <f t="shared" si="0"/>
        <v>2791550</v>
      </c>
      <c r="H11" s="792">
        <f t="shared" si="0"/>
        <v>163168</v>
      </c>
      <c r="I11" s="792">
        <f t="shared" si="0"/>
        <v>1808989</v>
      </c>
      <c r="J11" s="792">
        <f t="shared" si="0"/>
        <v>4636853</v>
      </c>
      <c r="K11" s="792">
        <f t="shared" si="0"/>
        <v>10110464</v>
      </c>
      <c r="L11" s="792">
        <f t="shared" si="0"/>
        <v>85809075</v>
      </c>
      <c r="M11" s="401">
        <f>'03'!C11+'04'!C11</f>
        <v>108990213</v>
      </c>
      <c r="N11" s="401">
        <f>C11-M11</f>
        <v>0</v>
      </c>
      <c r="O11" s="401">
        <f>'07'!C11</f>
        <v>108990213</v>
      </c>
      <c r="P11" s="401">
        <f>C11-O11</f>
        <v>0</v>
      </c>
      <c r="Q11" s="390"/>
      <c r="R11" s="390"/>
    </row>
    <row r="12" spans="1:18" s="485" customFormat="1" ht="19.5" customHeight="1">
      <c r="A12" s="505">
        <v>1</v>
      </c>
      <c r="B12" s="428" t="s">
        <v>131</v>
      </c>
      <c r="C12" s="667">
        <f aca="true" t="shared" si="1" ref="C12:C25">SUM(D12,K12,L12)</f>
        <v>95712620</v>
      </c>
      <c r="D12" s="793">
        <f aca="true" t="shared" si="2" ref="D12:D25">SUM(E12:J12)</f>
        <v>10562081</v>
      </c>
      <c r="E12" s="647">
        <f>E51+E76+E100+E125+E150+E175+E200+E225</f>
        <v>2969367</v>
      </c>
      <c r="F12" s="647">
        <f aca="true" t="shared" si="3" ref="F12:L12">F51+F76+F100+F125+F150+F175+F200+F225</f>
        <v>0</v>
      </c>
      <c r="G12" s="647">
        <f t="shared" si="3"/>
        <v>2394654</v>
      </c>
      <c r="H12" s="647">
        <f t="shared" si="3"/>
        <v>32943</v>
      </c>
      <c r="I12" s="647">
        <f t="shared" si="3"/>
        <v>1661818</v>
      </c>
      <c r="J12" s="647">
        <f t="shared" si="3"/>
        <v>3503299</v>
      </c>
      <c r="K12" s="647">
        <f t="shared" si="3"/>
        <v>8810404</v>
      </c>
      <c r="L12" s="647">
        <f t="shared" si="3"/>
        <v>76340135</v>
      </c>
      <c r="M12" s="405">
        <f>'03'!C12+'04'!C12</f>
        <v>95712620</v>
      </c>
      <c r="N12" s="405">
        <f aca="true" t="shared" si="4" ref="N12:N26">C12-M12</f>
        <v>0</v>
      </c>
      <c r="O12" s="405">
        <f>'07'!D11</f>
        <v>95712620</v>
      </c>
      <c r="P12" s="405">
        <f aca="true" t="shared" si="5" ref="P12:P26">C12-O12</f>
        <v>0</v>
      </c>
      <c r="Q12" s="400"/>
      <c r="R12" s="427"/>
    </row>
    <row r="13" spans="1:18" s="485" customFormat="1" ht="19.5" customHeight="1">
      <c r="A13" s="505">
        <v>2</v>
      </c>
      <c r="B13" s="428" t="s">
        <v>132</v>
      </c>
      <c r="C13" s="667">
        <f t="shared" si="1"/>
        <v>13277593</v>
      </c>
      <c r="D13" s="793">
        <f t="shared" si="2"/>
        <v>2508593</v>
      </c>
      <c r="E13" s="647">
        <f aca="true" t="shared" si="6" ref="E13:L15">E52+E77+E101+E126+E151+E176+E201+E226</f>
        <v>699947</v>
      </c>
      <c r="F13" s="647">
        <f t="shared" si="6"/>
        <v>800</v>
      </c>
      <c r="G13" s="647">
        <f t="shared" si="6"/>
        <v>396896</v>
      </c>
      <c r="H13" s="647">
        <f t="shared" si="6"/>
        <v>130225</v>
      </c>
      <c r="I13" s="647">
        <f t="shared" si="6"/>
        <v>147171</v>
      </c>
      <c r="J13" s="647">
        <f t="shared" si="6"/>
        <v>1133554</v>
      </c>
      <c r="K13" s="647">
        <f t="shared" si="6"/>
        <v>1300060</v>
      </c>
      <c r="L13" s="647">
        <f t="shared" si="6"/>
        <v>9468940</v>
      </c>
      <c r="M13" s="405">
        <f>'03'!C13+'04'!C13</f>
        <v>13277593</v>
      </c>
      <c r="N13" s="405">
        <f t="shared" si="4"/>
        <v>0</v>
      </c>
      <c r="O13" s="405">
        <f>'07'!E11</f>
        <v>13277593</v>
      </c>
      <c r="P13" s="405">
        <f t="shared" si="5"/>
        <v>0</v>
      </c>
      <c r="Q13" s="400"/>
      <c r="R13" s="427"/>
    </row>
    <row r="14" spans="1:18" s="485" customFormat="1" ht="19.5" customHeight="1">
      <c r="A14" s="506" t="s">
        <v>1</v>
      </c>
      <c r="B14" s="394" t="s">
        <v>133</v>
      </c>
      <c r="C14" s="667">
        <f t="shared" si="1"/>
        <v>7790301</v>
      </c>
      <c r="D14" s="793">
        <f t="shared" si="2"/>
        <v>213013</v>
      </c>
      <c r="E14" s="649">
        <f t="shared" si="6"/>
        <v>127863</v>
      </c>
      <c r="F14" s="649">
        <f t="shared" si="6"/>
        <v>0</v>
      </c>
      <c r="G14" s="649">
        <f t="shared" si="6"/>
        <v>15000</v>
      </c>
      <c r="H14" s="649">
        <f t="shared" si="6"/>
        <v>0</v>
      </c>
      <c r="I14" s="649">
        <f t="shared" si="6"/>
        <v>70150</v>
      </c>
      <c r="J14" s="649">
        <f t="shared" si="6"/>
        <v>0</v>
      </c>
      <c r="K14" s="649">
        <f t="shared" si="6"/>
        <v>7455288</v>
      </c>
      <c r="L14" s="649">
        <f t="shared" si="6"/>
        <v>122000</v>
      </c>
      <c r="M14" s="405">
        <f>'03'!C14+'04'!C14</f>
        <v>7790301</v>
      </c>
      <c r="N14" s="405">
        <f t="shared" si="4"/>
        <v>0</v>
      </c>
      <c r="O14" s="405">
        <f>'07'!F11</f>
        <v>7790301</v>
      </c>
      <c r="P14" s="405">
        <f t="shared" si="5"/>
        <v>0</v>
      </c>
      <c r="Q14" s="390"/>
      <c r="R14" s="427"/>
    </row>
    <row r="15" spans="1:18" s="485" customFormat="1" ht="19.5" customHeight="1">
      <c r="A15" s="506" t="s">
        <v>9</v>
      </c>
      <c r="B15" s="394" t="s">
        <v>134</v>
      </c>
      <c r="C15" s="667">
        <f t="shared" si="1"/>
        <v>0</v>
      </c>
      <c r="D15" s="667">
        <f>E15+F15+G15+H15+I15+J15</f>
        <v>0</v>
      </c>
      <c r="E15" s="649">
        <f t="shared" si="6"/>
        <v>0</v>
      </c>
      <c r="F15" s="649">
        <f t="shared" si="6"/>
        <v>0</v>
      </c>
      <c r="G15" s="649">
        <f t="shared" si="6"/>
        <v>0</v>
      </c>
      <c r="H15" s="649">
        <f t="shared" si="6"/>
        <v>0</v>
      </c>
      <c r="I15" s="649">
        <f t="shared" si="6"/>
        <v>0</v>
      </c>
      <c r="J15" s="649">
        <f t="shared" si="6"/>
        <v>0</v>
      </c>
      <c r="K15" s="649"/>
      <c r="L15" s="649">
        <f t="shared" si="6"/>
        <v>0</v>
      </c>
      <c r="M15" s="405">
        <f>'03'!C15+'04'!C15</f>
        <v>0</v>
      </c>
      <c r="N15" s="405">
        <f t="shared" si="4"/>
        <v>0</v>
      </c>
      <c r="O15" s="405">
        <f>'07'!G11</f>
        <v>0</v>
      </c>
      <c r="P15" s="405">
        <f t="shared" si="5"/>
        <v>0</v>
      </c>
      <c r="Q15" s="390"/>
      <c r="R15" s="390"/>
    </row>
    <row r="16" spans="1:18" s="485" customFormat="1" ht="19.5" customHeight="1">
      <c r="A16" s="506" t="s">
        <v>135</v>
      </c>
      <c r="B16" s="394" t="s">
        <v>136</v>
      </c>
      <c r="C16" s="794">
        <f t="shared" si="1"/>
        <v>101199912</v>
      </c>
      <c r="D16" s="794">
        <f t="shared" si="2"/>
        <v>12857661</v>
      </c>
      <c r="E16" s="792">
        <f>E11-SUM(E14,E15)</f>
        <v>3541451</v>
      </c>
      <c r="F16" s="792">
        <f aca="true" t="shared" si="7" ref="F16:L16">F11-SUM(F14,F15)</f>
        <v>800</v>
      </c>
      <c r="G16" s="792">
        <f t="shared" si="7"/>
        <v>2776550</v>
      </c>
      <c r="H16" s="794">
        <f>H11-SUM(H14,H15)</f>
        <v>163168</v>
      </c>
      <c r="I16" s="792">
        <f t="shared" si="7"/>
        <v>1738839</v>
      </c>
      <c r="J16" s="792">
        <f t="shared" si="7"/>
        <v>4636853</v>
      </c>
      <c r="K16" s="792">
        <f>K11-SUM(K14)</f>
        <v>2655176</v>
      </c>
      <c r="L16" s="792">
        <f t="shared" si="7"/>
        <v>85687075</v>
      </c>
      <c r="M16" s="401">
        <f>'03'!C16+'04'!C16</f>
        <v>101199912</v>
      </c>
      <c r="N16" s="401">
        <f t="shared" si="4"/>
        <v>0</v>
      </c>
      <c r="O16" s="401">
        <f>'07'!H11</f>
        <v>101199912</v>
      </c>
      <c r="P16" s="401">
        <f t="shared" si="5"/>
        <v>0</v>
      </c>
      <c r="Q16" s="390"/>
      <c r="R16" s="390"/>
    </row>
    <row r="17" spans="1:18" s="485" customFormat="1" ht="19.5" customHeight="1">
      <c r="A17" s="506" t="s">
        <v>51</v>
      </c>
      <c r="B17" s="429" t="s">
        <v>137</v>
      </c>
      <c r="C17" s="794">
        <f>C18+C19+C20+C21+C22+C23+C24+C25</f>
        <v>41568874</v>
      </c>
      <c r="D17" s="794">
        <f aca="true" t="shared" si="8" ref="D17:L17">D18+D19+D20+D21+D22+D23+D24+D25</f>
        <v>3530948</v>
      </c>
      <c r="E17" s="794">
        <f t="shared" si="8"/>
        <v>1214194</v>
      </c>
      <c r="F17" s="794">
        <f t="shared" si="8"/>
        <v>800</v>
      </c>
      <c r="G17" s="794">
        <f t="shared" si="8"/>
        <v>776946</v>
      </c>
      <c r="H17" s="794">
        <f t="shared" si="8"/>
        <v>120690</v>
      </c>
      <c r="I17" s="794">
        <f t="shared" si="8"/>
        <v>108957</v>
      </c>
      <c r="J17" s="794">
        <f t="shared" si="8"/>
        <v>1309361</v>
      </c>
      <c r="K17" s="794">
        <f t="shared" si="8"/>
        <v>1466228</v>
      </c>
      <c r="L17" s="794">
        <f t="shared" si="8"/>
        <v>36571698</v>
      </c>
      <c r="M17" s="401">
        <f>'03'!C17+'04'!C17</f>
        <v>41568874</v>
      </c>
      <c r="N17" s="401">
        <f t="shared" si="4"/>
        <v>0</v>
      </c>
      <c r="O17" s="401">
        <f>'07'!I11</f>
        <v>41568874</v>
      </c>
      <c r="P17" s="401">
        <f t="shared" si="5"/>
        <v>0</v>
      </c>
      <c r="Q17" s="390"/>
      <c r="R17" s="390"/>
    </row>
    <row r="18" spans="1:18" s="485" customFormat="1" ht="19.5" customHeight="1">
      <c r="A18" s="505" t="s">
        <v>53</v>
      </c>
      <c r="B18" s="428" t="s">
        <v>138</v>
      </c>
      <c r="C18" s="667">
        <f t="shared" si="1"/>
        <v>4208144</v>
      </c>
      <c r="D18" s="793">
        <f>SUM(E18:J18)</f>
        <v>1905700</v>
      </c>
      <c r="E18" s="648">
        <f>E57+E82+E106+E131+E156+E181+E206+E231</f>
        <v>441726</v>
      </c>
      <c r="F18" s="648">
        <f aca="true" t="shared" si="9" ref="F18:L18">F57+F82+F106+F131+F156+F181+F206+F231</f>
        <v>800</v>
      </c>
      <c r="G18" s="648">
        <f t="shared" si="9"/>
        <v>313944</v>
      </c>
      <c r="H18" s="648">
        <f t="shared" si="9"/>
        <v>120690</v>
      </c>
      <c r="I18" s="648">
        <f t="shared" si="9"/>
        <v>49472</v>
      </c>
      <c r="J18" s="648">
        <f t="shared" si="9"/>
        <v>979068</v>
      </c>
      <c r="K18" s="648">
        <f t="shared" si="9"/>
        <v>109711</v>
      </c>
      <c r="L18" s="648">
        <f t="shared" si="9"/>
        <v>2192733</v>
      </c>
      <c r="M18" s="405">
        <f>'03'!C18+'04'!C18</f>
        <v>4208144</v>
      </c>
      <c r="N18" s="405">
        <f t="shared" si="4"/>
        <v>0</v>
      </c>
      <c r="O18" s="405">
        <f>'07'!J11</f>
        <v>4208144</v>
      </c>
      <c r="P18" s="405">
        <f t="shared" si="5"/>
        <v>0</v>
      </c>
      <c r="Q18" s="390"/>
      <c r="R18" s="390"/>
    </row>
    <row r="19" spans="1:18" s="485" customFormat="1" ht="19.5" customHeight="1">
      <c r="A19" s="505" t="s">
        <v>54</v>
      </c>
      <c r="B19" s="428" t="s">
        <v>139</v>
      </c>
      <c r="C19" s="667">
        <f>SUM(D19,K19,L19)</f>
        <v>1089973</v>
      </c>
      <c r="D19" s="793">
        <f t="shared" si="2"/>
        <v>344658</v>
      </c>
      <c r="E19" s="648">
        <f aca="true" t="shared" si="10" ref="E19:L25">E58+E83+E107+E132+E157+E182+E207+E232</f>
        <v>16795</v>
      </c>
      <c r="F19" s="648">
        <f t="shared" si="10"/>
        <v>0</v>
      </c>
      <c r="G19" s="648">
        <f t="shared" si="10"/>
        <v>306807</v>
      </c>
      <c r="H19" s="648">
        <f t="shared" si="10"/>
        <v>0</v>
      </c>
      <c r="I19" s="648">
        <f t="shared" si="10"/>
        <v>4975</v>
      </c>
      <c r="J19" s="648">
        <f t="shared" si="10"/>
        <v>16081</v>
      </c>
      <c r="K19" s="648">
        <f t="shared" si="10"/>
        <v>462731</v>
      </c>
      <c r="L19" s="648">
        <f t="shared" si="10"/>
        <v>282584</v>
      </c>
      <c r="M19" s="405">
        <f>'03'!C19+'04'!C19</f>
        <v>1089973</v>
      </c>
      <c r="N19" s="405">
        <f t="shared" si="4"/>
        <v>0</v>
      </c>
      <c r="O19" s="405">
        <f>'07'!K11</f>
        <v>1089973</v>
      </c>
      <c r="P19" s="405">
        <f t="shared" si="5"/>
        <v>0</v>
      </c>
      <c r="Q19" s="390"/>
      <c r="R19" s="390"/>
    </row>
    <row r="20" spans="1:18" s="485" customFormat="1" ht="19.5" customHeight="1">
      <c r="A20" s="505" t="s">
        <v>140</v>
      </c>
      <c r="B20" s="428" t="s">
        <v>201</v>
      </c>
      <c r="C20" s="667">
        <f t="shared" si="1"/>
        <v>97472</v>
      </c>
      <c r="D20" s="793">
        <f t="shared" si="2"/>
        <v>97472</v>
      </c>
      <c r="E20" s="648">
        <f t="shared" si="10"/>
        <v>1946</v>
      </c>
      <c r="F20" s="648">
        <f t="shared" si="10"/>
        <v>0</v>
      </c>
      <c r="G20" s="648">
        <f t="shared" si="10"/>
        <v>37145</v>
      </c>
      <c r="H20" s="648">
        <f t="shared" si="10"/>
        <v>0</v>
      </c>
      <c r="I20" s="648">
        <f t="shared" si="10"/>
        <v>52710</v>
      </c>
      <c r="J20" s="648">
        <f t="shared" si="10"/>
        <v>5671</v>
      </c>
      <c r="K20" s="648">
        <f t="shared" si="10"/>
        <v>0</v>
      </c>
      <c r="L20" s="648">
        <f t="shared" si="10"/>
        <v>0</v>
      </c>
      <c r="M20" s="405">
        <f>'03'!C20</f>
        <v>97472</v>
      </c>
      <c r="N20" s="405">
        <f t="shared" si="4"/>
        <v>0</v>
      </c>
      <c r="O20" s="405">
        <f>'07'!L11</f>
        <v>97472</v>
      </c>
      <c r="P20" s="405">
        <f t="shared" si="5"/>
        <v>0</v>
      </c>
      <c r="Q20" s="390"/>
      <c r="R20" s="390"/>
    </row>
    <row r="21" spans="1:18" s="485" customFormat="1" ht="19.5" customHeight="1">
      <c r="A21" s="505" t="s">
        <v>142</v>
      </c>
      <c r="B21" s="428" t="s">
        <v>141</v>
      </c>
      <c r="C21" s="667">
        <f t="shared" si="1"/>
        <v>19336919</v>
      </c>
      <c r="D21" s="793">
        <f t="shared" si="2"/>
        <v>943292</v>
      </c>
      <c r="E21" s="648">
        <f t="shared" si="10"/>
        <v>513901</v>
      </c>
      <c r="F21" s="648">
        <f t="shared" si="10"/>
        <v>0</v>
      </c>
      <c r="G21" s="648">
        <f t="shared" si="10"/>
        <v>119050</v>
      </c>
      <c r="H21" s="648">
        <f t="shared" si="10"/>
        <v>0</v>
      </c>
      <c r="I21" s="648">
        <f t="shared" si="10"/>
        <v>1800</v>
      </c>
      <c r="J21" s="648">
        <f t="shared" si="10"/>
        <v>308541</v>
      </c>
      <c r="K21" s="648">
        <f t="shared" si="10"/>
        <v>893786</v>
      </c>
      <c r="L21" s="648">
        <f t="shared" si="10"/>
        <v>17499841</v>
      </c>
      <c r="M21" s="405">
        <f>'03'!C21+'04'!C20</f>
        <v>19336919</v>
      </c>
      <c r="N21" s="405">
        <f t="shared" si="4"/>
        <v>0</v>
      </c>
      <c r="O21" s="405">
        <f>'07'!M11</f>
        <v>19336919</v>
      </c>
      <c r="P21" s="405">
        <f t="shared" si="5"/>
        <v>0</v>
      </c>
      <c r="Q21" s="390"/>
      <c r="R21" s="390"/>
    </row>
    <row r="22" spans="1:18" s="485" customFormat="1" ht="19.5" customHeight="1">
      <c r="A22" s="505" t="s">
        <v>144</v>
      </c>
      <c r="B22" s="428" t="s">
        <v>143</v>
      </c>
      <c r="C22" s="667">
        <f>D22+K22+L22</f>
        <v>16712398</v>
      </c>
      <c r="D22" s="793">
        <f>E22+F22+G22+H22+I22+J22</f>
        <v>235858</v>
      </c>
      <c r="E22" s="648">
        <f t="shared" si="10"/>
        <v>235858</v>
      </c>
      <c r="F22" s="648">
        <f t="shared" si="10"/>
        <v>0</v>
      </c>
      <c r="G22" s="648">
        <f t="shared" si="10"/>
        <v>0</v>
      </c>
      <c r="H22" s="648">
        <f t="shared" si="10"/>
        <v>0</v>
      </c>
      <c r="I22" s="648">
        <f t="shared" si="10"/>
        <v>0</v>
      </c>
      <c r="J22" s="648">
        <f t="shared" si="10"/>
        <v>0</v>
      </c>
      <c r="K22" s="648">
        <f t="shared" si="10"/>
        <v>0</v>
      </c>
      <c r="L22" s="648">
        <f t="shared" si="10"/>
        <v>16476540</v>
      </c>
      <c r="M22" s="405">
        <f>'03'!C22+'04'!C21</f>
        <v>16712398</v>
      </c>
      <c r="N22" s="405">
        <f t="shared" si="4"/>
        <v>0</v>
      </c>
      <c r="O22" s="405">
        <f>'07'!N11</f>
        <v>16712398</v>
      </c>
      <c r="P22" s="405">
        <f t="shared" si="5"/>
        <v>0</v>
      </c>
      <c r="Q22" s="390"/>
      <c r="R22" s="390"/>
    </row>
    <row r="23" spans="1:18" s="485" customFormat="1" ht="19.5" customHeight="1">
      <c r="A23" s="505" t="s">
        <v>146</v>
      </c>
      <c r="B23" s="428" t="s">
        <v>145</v>
      </c>
      <c r="C23" s="667">
        <f t="shared" si="1"/>
        <v>0</v>
      </c>
      <c r="D23" s="667">
        <f t="shared" si="2"/>
        <v>0</v>
      </c>
      <c r="E23" s="648">
        <f t="shared" si="10"/>
        <v>0</v>
      </c>
      <c r="F23" s="648">
        <f t="shared" si="10"/>
        <v>0</v>
      </c>
      <c r="G23" s="648">
        <f t="shared" si="10"/>
        <v>0</v>
      </c>
      <c r="H23" s="648">
        <f t="shared" si="10"/>
        <v>0</v>
      </c>
      <c r="I23" s="648">
        <f t="shared" si="10"/>
        <v>0</v>
      </c>
      <c r="J23" s="648">
        <f t="shared" si="10"/>
        <v>0</v>
      </c>
      <c r="K23" s="648">
        <f t="shared" si="10"/>
        <v>0</v>
      </c>
      <c r="L23" s="648">
        <f t="shared" si="10"/>
        <v>0</v>
      </c>
      <c r="M23" s="405">
        <f>'03'!C23+'04'!C22</f>
        <v>0</v>
      </c>
      <c r="N23" s="405">
        <f t="shared" si="4"/>
        <v>0</v>
      </c>
      <c r="O23" s="405">
        <f>'07'!O11</f>
        <v>0</v>
      </c>
      <c r="P23" s="405">
        <f t="shared" si="5"/>
        <v>0</v>
      </c>
      <c r="Q23" s="390"/>
      <c r="R23" s="390"/>
    </row>
    <row r="24" spans="1:18" s="485" customFormat="1" ht="24" customHeight="1">
      <c r="A24" s="505" t="s">
        <v>148</v>
      </c>
      <c r="B24" s="430" t="s">
        <v>147</v>
      </c>
      <c r="C24" s="667">
        <f t="shared" si="1"/>
        <v>0</v>
      </c>
      <c r="D24" s="667">
        <f t="shared" si="2"/>
        <v>0</v>
      </c>
      <c r="E24" s="648">
        <f t="shared" si="10"/>
        <v>0</v>
      </c>
      <c r="F24" s="648">
        <f t="shared" si="10"/>
        <v>0</v>
      </c>
      <c r="G24" s="648">
        <f t="shared" si="10"/>
        <v>0</v>
      </c>
      <c r="H24" s="648">
        <f t="shared" si="10"/>
        <v>0</v>
      </c>
      <c r="I24" s="648">
        <f t="shared" si="10"/>
        <v>0</v>
      </c>
      <c r="J24" s="648">
        <f t="shared" si="10"/>
        <v>0</v>
      </c>
      <c r="K24" s="648">
        <f t="shared" si="10"/>
        <v>0</v>
      </c>
      <c r="L24" s="648">
        <f t="shared" si="10"/>
        <v>0</v>
      </c>
      <c r="M24" s="405">
        <f>'03'!C24+'04'!C23</f>
        <v>0</v>
      </c>
      <c r="N24" s="405">
        <f t="shared" si="4"/>
        <v>0</v>
      </c>
      <c r="O24" s="405">
        <f>'07'!P11</f>
        <v>0</v>
      </c>
      <c r="P24" s="405">
        <f t="shared" si="5"/>
        <v>0</v>
      </c>
      <c r="Q24" s="390"/>
      <c r="R24" s="390"/>
    </row>
    <row r="25" spans="1:18" s="485" customFormat="1" ht="18" customHeight="1">
      <c r="A25" s="505" t="s">
        <v>185</v>
      </c>
      <c r="B25" s="428" t="s">
        <v>149</v>
      </c>
      <c r="C25" s="667">
        <f t="shared" si="1"/>
        <v>123968</v>
      </c>
      <c r="D25" s="791">
        <f t="shared" si="2"/>
        <v>3968</v>
      </c>
      <c r="E25" s="648">
        <f t="shared" si="10"/>
        <v>3968</v>
      </c>
      <c r="F25" s="648">
        <f t="shared" si="10"/>
        <v>0</v>
      </c>
      <c r="G25" s="648">
        <f t="shared" si="10"/>
        <v>0</v>
      </c>
      <c r="H25" s="648">
        <f t="shared" si="10"/>
        <v>0</v>
      </c>
      <c r="I25" s="648">
        <f t="shared" si="10"/>
        <v>0</v>
      </c>
      <c r="J25" s="648">
        <f t="shared" si="10"/>
        <v>0</v>
      </c>
      <c r="K25" s="648">
        <f t="shared" si="10"/>
        <v>0</v>
      </c>
      <c r="L25" s="648">
        <f t="shared" si="10"/>
        <v>120000</v>
      </c>
      <c r="M25" s="405">
        <f>'03'!C25+'04'!C24</f>
        <v>123968</v>
      </c>
      <c r="N25" s="405">
        <f t="shared" si="4"/>
        <v>0</v>
      </c>
      <c r="O25" s="405">
        <f>'07'!Q11</f>
        <v>123968</v>
      </c>
      <c r="P25" s="405">
        <f t="shared" si="5"/>
        <v>0</v>
      </c>
      <c r="Q25" s="390"/>
      <c r="R25" s="390"/>
    </row>
    <row r="26" spans="1:18" s="485" customFormat="1" ht="20.25" customHeight="1">
      <c r="A26" s="506" t="s">
        <v>52</v>
      </c>
      <c r="B26" s="394" t="s">
        <v>150</v>
      </c>
      <c r="C26" s="794">
        <f>C11-C14-C17</f>
        <v>59631038</v>
      </c>
      <c r="D26" s="794">
        <f>SUM(E26:J26)</f>
        <v>9326713</v>
      </c>
      <c r="E26" s="794">
        <f>E16-E17</f>
        <v>2327257</v>
      </c>
      <c r="F26" s="794">
        <f aca="true" t="shared" si="11" ref="F26:K26">F16-F17</f>
        <v>0</v>
      </c>
      <c r="G26" s="794">
        <f t="shared" si="11"/>
        <v>1999604</v>
      </c>
      <c r="H26" s="794">
        <f t="shared" si="11"/>
        <v>42478</v>
      </c>
      <c r="I26" s="794">
        <f t="shared" si="11"/>
        <v>1629882</v>
      </c>
      <c r="J26" s="794">
        <f t="shared" si="11"/>
        <v>3327492</v>
      </c>
      <c r="K26" s="794">
        <f t="shared" si="11"/>
        <v>1188948</v>
      </c>
      <c r="L26" s="794">
        <f>L16-L17</f>
        <v>49115377</v>
      </c>
      <c r="M26" s="401">
        <f>'03'!C26+'04'!C25</f>
        <v>59631038</v>
      </c>
      <c r="N26" s="401">
        <f t="shared" si="4"/>
        <v>0</v>
      </c>
      <c r="O26" s="401">
        <f>'07'!R11</f>
        <v>59631038</v>
      </c>
      <c r="P26" s="401">
        <f t="shared" si="5"/>
        <v>0</v>
      </c>
      <c r="Q26" s="390"/>
      <c r="R26" s="390"/>
    </row>
    <row r="27" spans="1:18" s="485" customFormat="1" ht="35.25" customHeight="1">
      <c r="A27" s="532" t="s">
        <v>538</v>
      </c>
      <c r="B27" s="486" t="s">
        <v>213</v>
      </c>
      <c r="C27" s="790">
        <f>(C18+C19+C20)/C17</f>
        <v>0.1297987768444245</v>
      </c>
      <c r="D27" s="790">
        <f aca="true" t="shared" si="12" ref="D27:L27">(D18+D19+D20)/D17</f>
        <v>0.6649290785364157</v>
      </c>
      <c r="E27" s="790">
        <f t="shared" si="12"/>
        <v>0.37923676117655003</v>
      </c>
      <c r="F27" s="790">
        <f t="shared" si="12"/>
        <v>1</v>
      </c>
      <c r="G27" s="790">
        <f t="shared" si="12"/>
        <v>0.8467718477217206</v>
      </c>
      <c r="H27" s="790">
        <f t="shared" si="12"/>
        <v>1</v>
      </c>
      <c r="I27" s="790">
        <f t="shared" si="12"/>
        <v>0.9834797213579669</v>
      </c>
      <c r="J27" s="790">
        <f t="shared" si="12"/>
        <v>0.7643575759473514</v>
      </c>
      <c r="K27" s="790">
        <f t="shared" si="12"/>
        <v>0.39041813415103244</v>
      </c>
      <c r="L27" s="790">
        <f t="shared" si="12"/>
        <v>0.06768395057839535</v>
      </c>
      <c r="M27" s="423"/>
      <c r="N27" s="487"/>
      <c r="O27" s="487"/>
      <c r="P27" s="487"/>
      <c r="Q27" s="390"/>
      <c r="R27" s="390"/>
    </row>
    <row r="28" spans="1:18" s="466" customFormat="1" ht="18" customHeight="1">
      <c r="A28" s="473"/>
      <c r="B28" s="488"/>
      <c r="C28" s="488"/>
      <c r="D28" s="464"/>
      <c r="E28" s="464"/>
      <c r="F28" s="464"/>
      <c r="G28" s="542"/>
      <c r="H28" s="542"/>
      <c r="I28" s="1343" t="str">
        <f>'Thong tin'!B8</f>
        <v>Tuyên Quang, ngày 05 tháng 01 năm 2018</v>
      </c>
      <c r="J28" s="1343"/>
      <c r="K28" s="1343"/>
      <c r="L28" s="1343"/>
      <c r="M28" s="476"/>
      <c r="N28" s="476"/>
      <c r="O28" s="476"/>
      <c r="P28" s="476"/>
      <c r="Q28" s="476"/>
      <c r="R28" s="476"/>
    </row>
    <row r="29" spans="1:18" s="466" customFormat="1" ht="21" customHeight="1">
      <c r="A29" s="1305" t="s">
        <v>4</v>
      </c>
      <c r="B29" s="1305"/>
      <c r="C29" s="1305"/>
      <c r="D29" s="1305"/>
      <c r="E29" s="534"/>
      <c r="F29" s="534"/>
      <c r="G29" s="543"/>
      <c r="H29" s="1336" t="str">
        <f>'Thong tin'!B7</f>
        <v>CỤC TRƯỞNG</v>
      </c>
      <c r="I29" s="1336"/>
      <c r="J29" s="1336"/>
      <c r="K29" s="1336"/>
      <c r="L29" s="1336"/>
      <c r="M29" s="476"/>
      <c r="N29" s="476"/>
      <c r="O29" s="476"/>
      <c r="P29" s="476"/>
      <c r="Q29" s="476"/>
      <c r="R29" s="476"/>
    </row>
    <row r="30" spans="1:18" s="466" customFormat="1" ht="15.75" customHeight="1">
      <c r="A30" s="526"/>
      <c r="B30" s="1328"/>
      <c r="C30" s="1328"/>
      <c r="D30" s="545"/>
      <c r="E30" s="545"/>
      <c r="F30" s="534"/>
      <c r="G30" s="1335"/>
      <c r="H30" s="1335"/>
      <c r="I30" s="1335"/>
      <c r="J30" s="1335"/>
      <c r="K30" s="1335"/>
      <c r="L30" s="1335"/>
      <c r="M30" s="489"/>
      <c r="N30" s="489"/>
      <c r="O30" s="489"/>
      <c r="P30" s="489"/>
      <c r="Q30" s="476"/>
      <c r="R30" s="476"/>
    </row>
    <row r="31" spans="1:18" s="466" customFormat="1" ht="4.5" customHeight="1">
      <c r="A31" s="526"/>
      <c r="B31" s="537"/>
      <c r="C31" s="529"/>
      <c r="D31" s="534"/>
      <c r="E31" s="534"/>
      <c r="F31" s="534"/>
      <c r="G31" s="546"/>
      <c r="H31" s="546"/>
      <c r="I31" s="546"/>
      <c r="J31" s="546"/>
      <c r="K31" s="546"/>
      <c r="L31" s="546"/>
      <c r="M31" s="476"/>
      <c r="N31" s="476"/>
      <c r="O31" s="476"/>
      <c r="P31" s="476"/>
      <c r="Q31" s="476"/>
      <c r="R31" s="476"/>
    </row>
    <row r="32" spans="1:18" s="434" customFormat="1" ht="18" customHeight="1">
      <c r="A32" s="547"/>
      <c r="B32" s="1358"/>
      <c r="C32" s="1358"/>
      <c r="D32" s="528"/>
      <c r="E32" s="528"/>
      <c r="F32" s="528"/>
      <c r="G32" s="528"/>
      <c r="H32" s="528"/>
      <c r="I32" s="528"/>
      <c r="J32" s="528"/>
      <c r="K32" s="528"/>
      <c r="L32" s="528"/>
      <c r="M32" s="447"/>
      <c r="N32" s="433"/>
      <c r="O32" s="433"/>
      <c r="P32" s="433"/>
      <c r="Q32" s="433"/>
      <c r="R32" s="433"/>
    </row>
    <row r="33" spans="1:18" s="434" customFormat="1" ht="15">
      <c r="A33" s="548"/>
      <c r="B33" s="548"/>
      <c r="C33" s="548"/>
      <c r="D33" s="548"/>
      <c r="E33" s="548"/>
      <c r="F33" s="548"/>
      <c r="G33" s="548"/>
      <c r="H33" s="548"/>
      <c r="I33" s="548"/>
      <c r="J33" s="548"/>
      <c r="K33" s="548"/>
      <c r="L33" s="548"/>
      <c r="M33" s="433"/>
      <c r="N33" s="433"/>
      <c r="O33" s="433"/>
      <c r="P33" s="433"/>
      <c r="Q33" s="433"/>
      <c r="R33" s="433"/>
    </row>
    <row r="34" spans="1:18" s="434" customFormat="1" ht="15">
      <c r="A34" s="548"/>
      <c r="B34" s="548"/>
      <c r="C34" s="548"/>
      <c r="D34" s="548"/>
      <c r="E34" s="548"/>
      <c r="F34" s="548"/>
      <c r="G34" s="548"/>
      <c r="H34" s="548"/>
      <c r="I34" s="548"/>
      <c r="J34" s="548"/>
      <c r="K34" s="548"/>
      <c r="L34" s="548"/>
      <c r="M34" s="433"/>
      <c r="N34" s="433"/>
      <c r="O34" s="433"/>
      <c r="P34" s="433"/>
      <c r="Q34" s="433"/>
      <c r="R34" s="433"/>
    </row>
    <row r="35" spans="1:12" ht="15">
      <c r="A35" s="548"/>
      <c r="B35" s="548"/>
      <c r="C35" s="548"/>
      <c r="D35" s="548"/>
      <c r="E35" s="548"/>
      <c r="F35" s="548"/>
      <c r="G35" s="548"/>
      <c r="H35" s="548"/>
      <c r="I35" s="548"/>
      <c r="J35" s="548"/>
      <c r="K35" s="548"/>
      <c r="L35" s="548"/>
    </row>
    <row r="36" spans="1:12" ht="15">
      <c r="A36" s="548"/>
      <c r="B36" s="548"/>
      <c r="C36" s="548"/>
      <c r="D36" s="548"/>
      <c r="E36" s="548"/>
      <c r="F36" s="548"/>
      <c r="G36" s="548"/>
      <c r="H36" s="548"/>
      <c r="I36" s="548"/>
      <c r="J36" s="548"/>
      <c r="K36" s="548"/>
      <c r="L36" s="548"/>
    </row>
    <row r="37" spans="1:12" ht="18.75">
      <c r="A37" s="1305" t="str">
        <f>'Thong tin'!B5</f>
        <v>Duy Thị Thúy</v>
      </c>
      <c r="B37" s="1305"/>
      <c r="C37" s="1305"/>
      <c r="D37" s="1305"/>
      <c r="E37" s="548"/>
      <c r="F37" s="548"/>
      <c r="G37" s="548"/>
      <c r="H37" s="1305" t="str">
        <f>'Thong tin'!B6</f>
        <v>Nguyễn Tuyên </v>
      </c>
      <c r="I37" s="1305"/>
      <c r="J37" s="1305"/>
      <c r="K37" s="1305"/>
      <c r="L37" s="1305"/>
    </row>
    <row r="38" ht="18.75" customHeight="1"/>
    <row r="39" ht="12.75" customHeight="1"/>
    <row r="40" ht="22.5" customHeight="1" hidden="1"/>
    <row r="41" ht="16.5" customHeight="1" hidden="1"/>
    <row r="42" ht="15" hidden="1"/>
    <row r="43" ht="15" hidden="1">
      <c r="B43" s="680" t="s">
        <v>700</v>
      </c>
    </row>
    <row r="44" ht="15" hidden="1"/>
    <row r="45" spans="1:12" ht="15" hidden="1">
      <c r="A45" s="957" t="s">
        <v>70</v>
      </c>
      <c r="B45" s="958"/>
      <c r="C45" s="1329" t="s">
        <v>37</v>
      </c>
      <c r="D45" s="1349" t="s">
        <v>337</v>
      </c>
      <c r="E45" s="1349"/>
      <c r="F45" s="1349"/>
      <c r="G45" s="1349"/>
      <c r="H45" s="1349"/>
      <c r="I45" s="1349"/>
      <c r="J45" s="1349"/>
      <c r="K45" s="1349"/>
      <c r="L45" s="1349"/>
    </row>
    <row r="46" spans="1:12" ht="15" hidden="1">
      <c r="A46" s="959"/>
      <c r="B46" s="960"/>
      <c r="C46" s="1329"/>
      <c r="D46" s="1350" t="s">
        <v>205</v>
      </c>
      <c r="E46" s="1351"/>
      <c r="F46" s="1351"/>
      <c r="G46" s="1351"/>
      <c r="H46" s="1351"/>
      <c r="I46" s="1351"/>
      <c r="J46" s="1352"/>
      <c r="K46" s="1353" t="s">
        <v>206</v>
      </c>
      <c r="L46" s="1353" t="s">
        <v>207</v>
      </c>
    </row>
    <row r="47" spans="1:12" ht="15" hidden="1">
      <c r="A47" s="959"/>
      <c r="B47" s="960"/>
      <c r="C47" s="1329"/>
      <c r="D47" s="1330" t="s">
        <v>36</v>
      </c>
      <c r="E47" s="1344" t="s">
        <v>7</v>
      </c>
      <c r="F47" s="1345"/>
      <c r="G47" s="1345"/>
      <c r="H47" s="1345"/>
      <c r="I47" s="1345"/>
      <c r="J47" s="1346"/>
      <c r="K47" s="1354"/>
      <c r="L47" s="1356"/>
    </row>
    <row r="48" spans="1:12" ht="15" hidden="1">
      <c r="A48" s="1333"/>
      <c r="B48" s="1334"/>
      <c r="C48" s="1329"/>
      <c r="D48" s="1330"/>
      <c r="E48" s="549" t="s">
        <v>208</v>
      </c>
      <c r="F48" s="549" t="s">
        <v>209</v>
      </c>
      <c r="G48" s="549" t="s">
        <v>210</v>
      </c>
      <c r="H48" s="549" t="s">
        <v>211</v>
      </c>
      <c r="I48" s="549" t="s">
        <v>344</v>
      </c>
      <c r="J48" s="549" t="s">
        <v>212</v>
      </c>
      <c r="K48" s="1355"/>
      <c r="L48" s="1357"/>
    </row>
    <row r="49" spans="1:12" ht="15" hidden="1">
      <c r="A49" s="1331" t="s">
        <v>6</v>
      </c>
      <c r="B49" s="1332"/>
      <c r="C49" s="479">
        <v>1</v>
      </c>
      <c r="D49" s="480">
        <v>2</v>
      </c>
      <c r="E49" s="479">
        <v>3</v>
      </c>
      <c r="F49" s="480">
        <v>4</v>
      </c>
      <c r="G49" s="479">
        <v>5</v>
      </c>
      <c r="H49" s="480">
        <v>6</v>
      </c>
      <c r="I49" s="479">
        <v>7</v>
      </c>
      <c r="J49" s="480">
        <v>8</v>
      </c>
      <c r="K49" s="479">
        <v>9</v>
      </c>
      <c r="L49" s="480">
        <v>10</v>
      </c>
    </row>
    <row r="50" spans="1:12" ht="15" hidden="1">
      <c r="A50" s="504" t="s">
        <v>0</v>
      </c>
      <c r="B50" s="426" t="s">
        <v>130</v>
      </c>
      <c r="C50" s="668">
        <f>D50+K50+L50</f>
        <v>13823763</v>
      </c>
      <c r="D50" s="668">
        <f>E50+F50+G50+H50+I50+J50</f>
        <v>5083954</v>
      </c>
      <c r="E50" s="668">
        <f aca="true" t="shared" si="13" ref="E50:L50">E51+E52</f>
        <v>791099</v>
      </c>
      <c r="F50" s="668">
        <f t="shared" si="13"/>
        <v>300</v>
      </c>
      <c r="G50" s="668">
        <f t="shared" si="13"/>
        <v>209973</v>
      </c>
      <c r="H50" s="668">
        <f t="shared" si="13"/>
        <v>32000</v>
      </c>
      <c r="I50" s="668">
        <f t="shared" si="13"/>
        <v>1164320</v>
      </c>
      <c r="J50" s="668">
        <f t="shared" si="13"/>
        <v>2886262</v>
      </c>
      <c r="K50" s="668">
        <f t="shared" si="13"/>
        <v>754590</v>
      </c>
      <c r="L50" s="668">
        <f t="shared" si="13"/>
        <v>7985219</v>
      </c>
    </row>
    <row r="51" spans="1:12" ht="15" hidden="1">
      <c r="A51" s="505">
        <v>1</v>
      </c>
      <c r="B51" s="428" t="s">
        <v>131</v>
      </c>
      <c r="C51" s="667">
        <f>SUM(D51,K51,L51)</f>
        <v>12147874</v>
      </c>
      <c r="D51" s="667">
        <f>SUM(E51:J51)</f>
        <v>4680777</v>
      </c>
      <c r="E51" s="647">
        <v>716803</v>
      </c>
      <c r="F51" s="647">
        <v>0</v>
      </c>
      <c r="G51" s="647">
        <v>190710</v>
      </c>
      <c r="H51" s="647">
        <v>0</v>
      </c>
      <c r="I51" s="647">
        <v>1099655</v>
      </c>
      <c r="J51" s="647">
        <v>2673609</v>
      </c>
      <c r="K51" s="647">
        <v>754590</v>
      </c>
      <c r="L51" s="647">
        <v>6712507</v>
      </c>
    </row>
    <row r="52" spans="1:12" ht="15" hidden="1">
      <c r="A52" s="505">
        <v>2</v>
      </c>
      <c r="B52" s="428" t="s">
        <v>132</v>
      </c>
      <c r="C52" s="667">
        <f>SUM(D52,K52,L52)</f>
        <v>1675889</v>
      </c>
      <c r="D52" s="667">
        <f>SUM(E52:J52)</f>
        <v>403177</v>
      </c>
      <c r="E52" s="647">
        <v>74296</v>
      </c>
      <c r="F52" s="647">
        <v>300</v>
      </c>
      <c r="G52" s="647">
        <v>19263</v>
      </c>
      <c r="H52" s="647">
        <v>32000</v>
      </c>
      <c r="I52" s="647">
        <v>64665</v>
      </c>
      <c r="J52" s="647">
        <v>212653</v>
      </c>
      <c r="K52" s="647">
        <v>0</v>
      </c>
      <c r="L52" s="647">
        <v>1272712</v>
      </c>
    </row>
    <row r="53" spans="1:12" ht="18" customHeight="1" hidden="1">
      <c r="A53" s="506" t="s">
        <v>1</v>
      </c>
      <c r="B53" s="394" t="s">
        <v>133</v>
      </c>
      <c r="C53" s="667">
        <f>SUM(D53,K53,L53)</f>
        <v>13871</v>
      </c>
      <c r="D53" s="667">
        <f>SUM(E53:J53)</f>
        <v>13871</v>
      </c>
      <c r="E53" s="647">
        <v>13871</v>
      </c>
      <c r="F53" s="647">
        <v>0</v>
      </c>
      <c r="G53" s="647">
        <v>0</v>
      </c>
      <c r="H53" s="647">
        <v>0</v>
      </c>
      <c r="I53" s="647">
        <v>0</v>
      </c>
      <c r="J53" s="647">
        <v>0</v>
      </c>
      <c r="K53" s="647">
        <v>0</v>
      </c>
      <c r="L53" s="647">
        <v>0</v>
      </c>
    </row>
    <row r="54" spans="1:12" ht="15" hidden="1">
      <c r="A54" s="506" t="s">
        <v>9</v>
      </c>
      <c r="B54" s="394" t="s">
        <v>134</v>
      </c>
      <c r="C54" s="667">
        <f>SUM(D54,K54,L54)</f>
        <v>0</v>
      </c>
      <c r="D54" s="667">
        <f>SUM(E54:J54)</f>
        <v>0</v>
      </c>
      <c r="E54" s="648"/>
      <c r="F54" s="648"/>
      <c r="G54" s="648"/>
      <c r="H54" s="648"/>
      <c r="I54" s="648"/>
      <c r="J54" s="648"/>
      <c r="K54" s="648"/>
      <c r="L54" s="648"/>
    </row>
    <row r="55" spans="1:12" ht="15" hidden="1">
      <c r="A55" s="506" t="s">
        <v>135</v>
      </c>
      <c r="B55" s="394" t="s">
        <v>136</v>
      </c>
      <c r="C55" s="669">
        <f>SUM(D55,K55,L55)</f>
        <v>13809892</v>
      </c>
      <c r="D55" s="669">
        <f>SUM(E55:J55)</f>
        <v>5070083</v>
      </c>
      <c r="E55" s="670">
        <f aca="true" t="shared" si="14" ref="E55:L55">E50-SUM(E53,E54)</f>
        <v>777228</v>
      </c>
      <c r="F55" s="670">
        <f t="shared" si="14"/>
        <v>300</v>
      </c>
      <c r="G55" s="670">
        <f t="shared" si="14"/>
        <v>209973</v>
      </c>
      <c r="H55" s="671">
        <f t="shared" si="14"/>
        <v>32000</v>
      </c>
      <c r="I55" s="670">
        <f t="shared" si="14"/>
        <v>1164320</v>
      </c>
      <c r="J55" s="670">
        <f t="shared" si="14"/>
        <v>2886262</v>
      </c>
      <c r="K55" s="670">
        <f t="shared" si="14"/>
        <v>754590</v>
      </c>
      <c r="L55" s="670">
        <f t="shared" si="14"/>
        <v>7985219</v>
      </c>
    </row>
    <row r="56" spans="1:12" ht="15" hidden="1">
      <c r="A56" s="506" t="s">
        <v>51</v>
      </c>
      <c r="B56" s="429" t="s">
        <v>137</v>
      </c>
      <c r="C56" s="669">
        <f>C57+C58+C59+C60+C61+C62+C63+C64</f>
        <v>1472765</v>
      </c>
      <c r="D56" s="669">
        <f aca="true" t="shared" si="15" ref="D56:L56">D57+D58+D59+D60+D61+D62+D63+D64</f>
        <v>555895</v>
      </c>
      <c r="E56" s="669">
        <f t="shared" si="15"/>
        <v>43040</v>
      </c>
      <c r="F56" s="669">
        <f t="shared" si="15"/>
        <v>300</v>
      </c>
      <c r="G56" s="669">
        <f t="shared" si="15"/>
        <v>39257</v>
      </c>
      <c r="H56" s="669">
        <f t="shared" si="15"/>
        <v>32000</v>
      </c>
      <c r="I56" s="669">
        <f t="shared" si="15"/>
        <v>93374</v>
      </c>
      <c r="J56" s="669">
        <f t="shared" si="15"/>
        <v>347924</v>
      </c>
      <c r="K56" s="669">
        <f t="shared" si="15"/>
        <v>1000</v>
      </c>
      <c r="L56" s="669">
        <f t="shared" si="15"/>
        <v>915870</v>
      </c>
    </row>
    <row r="57" spans="1:12" ht="15" hidden="1">
      <c r="A57" s="505" t="s">
        <v>53</v>
      </c>
      <c r="B57" s="428" t="s">
        <v>138</v>
      </c>
      <c r="C57" s="672">
        <f>SUM(D57,K57,L57)</f>
        <v>379752</v>
      </c>
      <c r="D57" s="672">
        <f>SUM(E57:J57)</f>
        <v>323752</v>
      </c>
      <c r="E57" s="647">
        <v>36590</v>
      </c>
      <c r="F57" s="647">
        <v>300</v>
      </c>
      <c r="G57" s="647">
        <v>7000</v>
      </c>
      <c r="H57" s="647">
        <v>32000</v>
      </c>
      <c r="I57" s="647">
        <v>38400</v>
      </c>
      <c r="J57" s="647">
        <v>209462</v>
      </c>
      <c r="K57" s="647">
        <v>1000</v>
      </c>
      <c r="L57" s="647">
        <v>55000</v>
      </c>
    </row>
    <row r="58" spans="1:12" ht="15" hidden="1">
      <c r="A58" s="505" t="s">
        <v>54</v>
      </c>
      <c r="B58" s="428" t="s">
        <v>139</v>
      </c>
      <c r="C58" s="667">
        <f>SUM(D58,K58,L58)</f>
        <v>14614</v>
      </c>
      <c r="D58" s="667">
        <f>SUM(E58:J58)</f>
        <v>14614</v>
      </c>
      <c r="E58" s="647">
        <v>0</v>
      </c>
      <c r="F58" s="647">
        <v>0</v>
      </c>
      <c r="G58" s="647">
        <v>9639</v>
      </c>
      <c r="H58" s="647">
        <v>0</v>
      </c>
      <c r="I58" s="647">
        <v>4975</v>
      </c>
      <c r="J58" s="647">
        <v>0</v>
      </c>
      <c r="K58" s="647">
        <v>0</v>
      </c>
      <c r="L58" s="647">
        <v>0</v>
      </c>
    </row>
    <row r="59" spans="1:12" ht="15" hidden="1">
      <c r="A59" s="505" t="s">
        <v>140</v>
      </c>
      <c r="B59" s="428" t="s">
        <v>201</v>
      </c>
      <c r="C59" s="667">
        <f>SUM(D59,K59,L59)</f>
        <v>71063</v>
      </c>
      <c r="D59" s="667">
        <f>SUM(E59:J59)</f>
        <v>71063</v>
      </c>
      <c r="E59" s="647">
        <v>1946</v>
      </c>
      <c r="F59" s="647">
        <v>0</v>
      </c>
      <c r="G59" s="647">
        <v>19118</v>
      </c>
      <c r="H59" s="647">
        <v>0</v>
      </c>
      <c r="I59" s="647">
        <v>49999</v>
      </c>
      <c r="J59" s="647">
        <v>0</v>
      </c>
      <c r="K59" s="647">
        <v>0</v>
      </c>
      <c r="L59" s="647">
        <v>0</v>
      </c>
    </row>
    <row r="60" spans="1:12" ht="15" hidden="1">
      <c r="A60" s="505" t="s">
        <v>142</v>
      </c>
      <c r="B60" s="428" t="s">
        <v>141</v>
      </c>
      <c r="C60" s="672">
        <f>SUM(D60,K60,L60)</f>
        <v>1007336</v>
      </c>
      <c r="D60" s="672">
        <f>SUM(E60:J60)</f>
        <v>146466</v>
      </c>
      <c r="E60" s="647">
        <v>4504</v>
      </c>
      <c r="F60" s="647">
        <v>0</v>
      </c>
      <c r="G60" s="647">
        <v>3500</v>
      </c>
      <c r="H60" s="647">
        <v>0</v>
      </c>
      <c r="I60" s="647">
        <v>0</v>
      </c>
      <c r="J60" s="647">
        <v>138462</v>
      </c>
      <c r="K60" s="647">
        <v>0</v>
      </c>
      <c r="L60" s="647">
        <v>860870</v>
      </c>
    </row>
    <row r="61" spans="1:12" ht="10.5" customHeight="1" hidden="1">
      <c r="A61" s="505" t="s">
        <v>144</v>
      </c>
      <c r="B61" s="428" t="s">
        <v>143</v>
      </c>
      <c r="C61" s="667">
        <f>D61+K61+L61</f>
        <v>0</v>
      </c>
      <c r="D61" s="667">
        <f>E61+F61+G61+H61+I61+J61</f>
        <v>0</v>
      </c>
      <c r="E61" s="647">
        <v>0</v>
      </c>
      <c r="F61" s="647">
        <v>0</v>
      </c>
      <c r="G61" s="647">
        <v>0</v>
      </c>
      <c r="H61" s="647">
        <v>0</v>
      </c>
      <c r="I61" s="647">
        <v>0</v>
      </c>
      <c r="J61" s="647">
        <v>0</v>
      </c>
      <c r="K61" s="647">
        <v>0</v>
      </c>
      <c r="L61" s="647">
        <v>0</v>
      </c>
    </row>
    <row r="62" spans="1:12" ht="13.5" customHeight="1" hidden="1">
      <c r="A62" s="505" t="s">
        <v>146</v>
      </c>
      <c r="B62" s="428" t="s">
        <v>145</v>
      </c>
      <c r="C62" s="667">
        <f>SUM(D62,K62,L62)</f>
        <v>0</v>
      </c>
      <c r="D62" s="667">
        <f>SUM(E62:J62)</f>
        <v>0</v>
      </c>
      <c r="E62" s="648"/>
      <c r="F62" s="648"/>
      <c r="G62" s="648"/>
      <c r="H62" s="648"/>
      <c r="I62" s="648"/>
      <c r="J62" s="648"/>
      <c r="K62" s="648"/>
      <c r="L62" s="648"/>
    </row>
    <row r="63" spans="1:12" ht="13.5" customHeight="1" hidden="1">
      <c r="A63" s="505" t="s">
        <v>148</v>
      </c>
      <c r="B63" s="430" t="s">
        <v>147</v>
      </c>
      <c r="C63" s="667">
        <f>SUM(D63,K63,L63)</f>
        <v>0</v>
      </c>
      <c r="D63" s="667">
        <f>SUM(E63:J63)</f>
        <v>0</v>
      </c>
      <c r="E63" s="648"/>
      <c r="F63" s="648"/>
      <c r="G63" s="648"/>
      <c r="H63" s="648"/>
      <c r="I63" s="648"/>
      <c r="J63" s="648"/>
      <c r="K63" s="648"/>
      <c r="L63" s="648"/>
    </row>
    <row r="64" spans="1:12" ht="15" hidden="1">
      <c r="A64" s="505" t="s">
        <v>185</v>
      </c>
      <c r="B64" s="428" t="s">
        <v>149</v>
      </c>
      <c r="C64" s="667">
        <f>SUM(D64,K64,L64)</f>
        <v>0</v>
      </c>
      <c r="D64" s="667">
        <f>SUM(E64:J64)</f>
        <v>0</v>
      </c>
      <c r="E64" s="649"/>
      <c r="F64" s="649"/>
      <c r="G64" s="649"/>
      <c r="H64" s="649"/>
      <c r="I64" s="649"/>
      <c r="J64" s="649"/>
      <c r="K64" s="649"/>
      <c r="L64" s="649"/>
    </row>
    <row r="65" spans="1:12" ht="15" hidden="1">
      <c r="A65" s="506" t="s">
        <v>52</v>
      </c>
      <c r="B65" s="394" t="s">
        <v>150</v>
      </c>
      <c r="C65" s="669">
        <f>C50-C53-C56</f>
        <v>12337127</v>
      </c>
      <c r="D65" s="669">
        <f>SUM(E65:J65)</f>
        <v>4514188</v>
      </c>
      <c r="E65" s="669">
        <f>E55-E56</f>
        <v>734188</v>
      </c>
      <c r="F65" s="669">
        <f aca="true" t="shared" si="16" ref="F65:K65">F55-F56</f>
        <v>0</v>
      </c>
      <c r="G65" s="669">
        <f t="shared" si="16"/>
        <v>170716</v>
      </c>
      <c r="H65" s="669">
        <f t="shared" si="16"/>
        <v>0</v>
      </c>
      <c r="I65" s="669">
        <f t="shared" si="16"/>
        <v>1070946</v>
      </c>
      <c r="J65" s="669">
        <f t="shared" si="16"/>
        <v>2538338</v>
      </c>
      <c r="K65" s="669">
        <f t="shared" si="16"/>
        <v>753590</v>
      </c>
      <c r="L65" s="669">
        <f>L55-L56</f>
        <v>7069349</v>
      </c>
    </row>
    <row r="66" spans="1:12" ht="25.5" hidden="1">
      <c r="A66" s="532" t="s">
        <v>538</v>
      </c>
      <c r="B66" s="486" t="s">
        <v>213</v>
      </c>
      <c r="C66" s="530">
        <f>(C57+C58+C59)/C56</f>
        <v>0.31602394136199596</v>
      </c>
      <c r="D66" s="530">
        <f aca="true" t="shared" si="17" ref="D66:L66">(D57+D58+D59)/D56</f>
        <v>0.7365221849449987</v>
      </c>
      <c r="E66" s="531">
        <f t="shared" si="17"/>
        <v>0.8953531598513012</v>
      </c>
      <c r="F66" s="531">
        <f t="shared" si="17"/>
        <v>1</v>
      </c>
      <c r="G66" s="531">
        <f t="shared" si="17"/>
        <v>0.9108439259240391</v>
      </c>
      <c r="H66" s="531">
        <f t="shared" si="17"/>
        <v>1</v>
      </c>
      <c r="I66" s="531">
        <f t="shared" si="17"/>
        <v>1</v>
      </c>
      <c r="J66" s="531">
        <f t="shared" si="17"/>
        <v>0.6020337774916361</v>
      </c>
      <c r="K66" s="531">
        <f t="shared" si="17"/>
        <v>1</v>
      </c>
      <c r="L66" s="531">
        <f t="shared" si="17"/>
        <v>0.060052190813106664</v>
      </c>
    </row>
    <row r="67" ht="15" hidden="1"/>
    <row r="68" ht="15" hidden="1"/>
    <row r="69" ht="15" hidden="1">
      <c r="B69" s="475" t="s">
        <v>710</v>
      </c>
    </row>
    <row r="70" spans="1:12" ht="15" hidden="1">
      <c r="A70" s="957" t="s">
        <v>70</v>
      </c>
      <c r="B70" s="958"/>
      <c r="C70" s="1329" t="s">
        <v>37</v>
      </c>
      <c r="D70" s="1349" t="s">
        <v>337</v>
      </c>
      <c r="E70" s="1349"/>
      <c r="F70" s="1349"/>
      <c r="G70" s="1349"/>
      <c r="H70" s="1349"/>
      <c r="I70" s="1349"/>
      <c r="J70" s="1349"/>
      <c r="K70" s="1349"/>
      <c r="L70" s="1349"/>
    </row>
    <row r="71" spans="1:12" ht="0.75" customHeight="1" hidden="1">
      <c r="A71" s="959"/>
      <c r="B71" s="960"/>
      <c r="C71" s="1329"/>
      <c r="D71" s="1350" t="s">
        <v>205</v>
      </c>
      <c r="E71" s="1351"/>
      <c r="F71" s="1351"/>
      <c r="G71" s="1351"/>
      <c r="H71" s="1351"/>
      <c r="I71" s="1351"/>
      <c r="J71" s="1352"/>
      <c r="K71" s="1353" t="s">
        <v>206</v>
      </c>
      <c r="L71" s="1353" t="s">
        <v>207</v>
      </c>
    </row>
    <row r="72" spans="1:12" ht="15" hidden="1">
      <c r="A72" s="959"/>
      <c r="B72" s="960"/>
      <c r="C72" s="1329"/>
      <c r="D72" s="1330" t="s">
        <v>36</v>
      </c>
      <c r="E72" s="1344" t="s">
        <v>7</v>
      </c>
      <c r="F72" s="1345"/>
      <c r="G72" s="1345"/>
      <c r="H72" s="1345"/>
      <c r="I72" s="1345"/>
      <c r="J72" s="1346"/>
      <c r="K72" s="1354"/>
      <c r="L72" s="1356"/>
    </row>
    <row r="73" spans="1:12" ht="15" hidden="1">
      <c r="A73" s="1333"/>
      <c r="B73" s="1334"/>
      <c r="C73" s="1329"/>
      <c r="D73" s="1330"/>
      <c r="E73" s="549" t="s">
        <v>208</v>
      </c>
      <c r="F73" s="549" t="s">
        <v>209</v>
      </c>
      <c r="G73" s="549" t="s">
        <v>210</v>
      </c>
      <c r="H73" s="549" t="s">
        <v>211</v>
      </c>
      <c r="I73" s="549" t="s">
        <v>344</v>
      </c>
      <c r="J73" s="549" t="s">
        <v>212</v>
      </c>
      <c r="K73" s="1355"/>
      <c r="L73" s="1357"/>
    </row>
    <row r="74" spans="1:12" ht="15" hidden="1">
      <c r="A74" s="1331" t="s">
        <v>6</v>
      </c>
      <c r="B74" s="1332"/>
      <c r="C74" s="479">
        <v>1</v>
      </c>
      <c r="D74" s="480">
        <v>2</v>
      </c>
      <c r="E74" s="479">
        <v>3</v>
      </c>
      <c r="F74" s="480">
        <v>4</v>
      </c>
      <c r="G74" s="479">
        <v>5</v>
      </c>
      <c r="H74" s="480">
        <v>6</v>
      </c>
      <c r="I74" s="479">
        <v>7</v>
      </c>
      <c r="J74" s="480">
        <v>8</v>
      </c>
      <c r="K74" s="479">
        <v>9</v>
      </c>
      <c r="L74" s="480">
        <v>10</v>
      </c>
    </row>
    <row r="75" spans="1:12" ht="15" hidden="1">
      <c r="A75" s="504" t="s">
        <v>0</v>
      </c>
      <c r="B75" s="426" t="s">
        <v>130</v>
      </c>
      <c r="C75" s="668">
        <f>D75+K75+L75</f>
        <v>46362550</v>
      </c>
      <c r="D75" s="668">
        <f>E75+F75+G75+H75+I75+J75</f>
        <v>2200299</v>
      </c>
      <c r="E75" s="668">
        <f aca="true" t="shared" si="18" ref="E75:L75">E76+E77</f>
        <v>1310802</v>
      </c>
      <c r="F75" s="668">
        <f t="shared" si="18"/>
        <v>200</v>
      </c>
      <c r="G75" s="668">
        <f t="shared" si="18"/>
        <v>493722</v>
      </c>
      <c r="H75" s="668">
        <f t="shared" si="18"/>
        <v>27030</v>
      </c>
      <c r="I75" s="668">
        <f t="shared" si="18"/>
        <v>70835</v>
      </c>
      <c r="J75" s="668">
        <f t="shared" si="18"/>
        <v>297710</v>
      </c>
      <c r="K75" s="668">
        <f t="shared" si="18"/>
        <v>1677059</v>
      </c>
      <c r="L75" s="668">
        <f t="shared" si="18"/>
        <v>42485192</v>
      </c>
    </row>
    <row r="76" spans="1:12" ht="15" hidden="1">
      <c r="A76" s="505">
        <v>1</v>
      </c>
      <c r="B76" s="428" t="s">
        <v>131</v>
      </c>
      <c r="C76" s="667">
        <f>SUM(D76,K76,L76)</f>
        <v>41909503</v>
      </c>
      <c r="D76" s="667">
        <f>SUM(E76:J76)</f>
        <v>1541921</v>
      </c>
      <c r="E76" s="732">
        <v>1034998</v>
      </c>
      <c r="F76" s="732">
        <v>0</v>
      </c>
      <c r="G76" s="732">
        <v>437504</v>
      </c>
      <c r="H76" s="732">
        <v>0</v>
      </c>
      <c r="I76" s="732">
        <v>69419</v>
      </c>
      <c r="J76" s="732">
        <v>0</v>
      </c>
      <c r="K76" s="732">
        <v>389710</v>
      </c>
      <c r="L76" s="732">
        <v>39977872</v>
      </c>
    </row>
    <row r="77" spans="1:12" ht="15" customHeight="1" hidden="1">
      <c r="A77" s="505">
        <v>2</v>
      </c>
      <c r="B77" s="428" t="s">
        <v>132</v>
      </c>
      <c r="C77" s="667">
        <f>SUM(D77,K77,L77)</f>
        <v>4453047</v>
      </c>
      <c r="D77" s="667">
        <f>SUM(E77:J77)</f>
        <v>658378</v>
      </c>
      <c r="E77" s="732">
        <v>275804</v>
      </c>
      <c r="F77" s="732">
        <v>200</v>
      </c>
      <c r="G77" s="732">
        <v>56218</v>
      </c>
      <c r="H77" s="732">
        <v>27030</v>
      </c>
      <c r="I77" s="732">
        <v>1416</v>
      </c>
      <c r="J77" s="732">
        <v>297710</v>
      </c>
      <c r="K77" s="732">
        <v>1287349</v>
      </c>
      <c r="L77" s="732">
        <v>2507320</v>
      </c>
    </row>
    <row r="78" spans="1:12" ht="15" hidden="1">
      <c r="A78" s="506" t="s">
        <v>1</v>
      </c>
      <c r="B78" s="394" t="s">
        <v>133</v>
      </c>
      <c r="C78" s="667">
        <f>SUM(D78,K78,L78)</f>
        <v>176782</v>
      </c>
      <c r="D78" s="667">
        <f>SUM(E78:J78)</f>
        <v>105782</v>
      </c>
      <c r="E78" s="732">
        <v>105782</v>
      </c>
      <c r="F78" s="732">
        <v>0</v>
      </c>
      <c r="G78" s="732">
        <v>0</v>
      </c>
      <c r="H78" s="732">
        <v>0</v>
      </c>
      <c r="I78" s="732">
        <v>0</v>
      </c>
      <c r="J78" s="732">
        <v>0</v>
      </c>
      <c r="K78" s="732">
        <v>0</v>
      </c>
      <c r="L78" s="732">
        <v>71000</v>
      </c>
    </row>
    <row r="79" spans="1:12" ht="15" hidden="1">
      <c r="A79" s="506" t="s">
        <v>9</v>
      </c>
      <c r="B79" s="394" t="s">
        <v>134</v>
      </c>
      <c r="C79" s="667">
        <f>SUM(D79,K79,L79)</f>
        <v>0</v>
      </c>
      <c r="D79" s="667">
        <f>SUM(E79:J79)</f>
        <v>0</v>
      </c>
      <c r="E79" s="650"/>
      <c r="F79" s="650"/>
      <c r="G79" s="650"/>
      <c r="H79" s="650"/>
      <c r="I79" s="650"/>
      <c r="J79" s="650"/>
      <c r="K79" s="650"/>
      <c r="L79" s="650"/>
    </row>
    <row r="80" spans="1:12" ht="15" hidden="1">
      <c r="A80" s="506" t="s">
        <v>135</v>
      </c>
      <c r="B80" s="394" t="s">
        <v>136</v>
      </c>
      <c r="C80" s="669">
        <f>SUM(D80,K80,L80)</f>
        <v>46185768</v>
      </c>
      <c r="D80" s="669">
        <f>SUM(E80:J80)</f>
        <v>2094517</v>
      </c>
      <c r="E80" s="670">
        <f aca="true" t="shared" si="19" ref="E80:L80">E75-SUM(E78,E79)</f>
        <v>1205020</v>
      </c>
      <c r="F80" s="670">
        <f t="shared" si="19"/>
        <v>200</v>
      </c>
      <c r="G80" s="670">
        <f t="shared" si="19"/>
        <v>493722</v>
      </c>
      <c r="H80" s="671">
        <f t="shared" si="19"/>
        <v>27030</v>
      </c>
      <c r="I80" s="670">
        <f t="shared" si="19"/>
        <v>70835</v>
      </c>
      <c r="J80" s="670">
        <f t="shared" si="19"/>
        <v>297710</v>
      </c>
      <c r="K80" s="670">
        <f t="shared" si="19"/>
        <v>1677059</v>
      </c>
      <c r="L80" s="670">
        <f t="shared" si="19"/>
        <v>42414192</v>
      </c>
    </row>
    <row r="81" spans="1:12" ht="15" hidden="1">
      <c r="A81" s="506" t="s">
        <v>51</v>
      </c>
      <c r="B81" s="429" t="s">
        <v>137</v>
      </c>
      <c r="C81" s="669">
        <f>C82+C83+C84+C85+C86+C87+C88+C89</f>
        <v>24774712</v>
      </c>
      <c r="D81" s="669">
        <f aca="true" t="shared" si="20" ref="D81:L81">D82+D83+D84+D85+D86+D87+D88+D89</f>
        <v>1031459</v>
      </c>
      <c r="E81" s="669">
        <f t="shared" si="20"/>
        <v>640820</v>
      </c>
      <c r="F81" s="669">
        <f t="shared" si="20"/>
        <v>200</v>
      </c>
      <c r="G81" s="669">
        <f t="shared" si="20"/>
        <v>64283</v>
      </c>
      <c r="H81" s="669">
        <f t="shared" si="20"/>
        <v>27030</v>
      </c>
      <c r="I81" s="669">
        <f t="shared" si="20"/>
        <v>1416</v>
      </c>
      <c r="J81" s="669">
        <f t="shared" si="20"/>
        <v>297710</v>
      </c>
      <c r="K81" s="669">
        <f t="shared" si="20"/>
        <v>1449588</v>
      </c>
      <c r="L81" s="669">
        <f t="shared" si="20"/>
        <v>22293665</v>
      </c>
    </row>
    <row r="82" spans="1:12" ht="16.5" customHeight="1" hidden="1">
      <c r="A82" s="505" t="s">
        <v>53</v>
      </c>
      <c r="B82" s="428" t="s">
        <v>138</v>
      </c>
      <c r="C82" s="672">
        <f>SUM(D82,K82,L82)</f>
        <v>1260102</v>
      </c>
      <c r="D82" s="672">
        <f>SUM(E82:J82)</f>
        <v>543950</v>
      </c>
      <c r="E82" s="732">
        <v>165407</v>
      </c>
      <c r="F82" s="732">
        <v>200</v>
      </c>
      <c r="G82" s="732">
        <v>52718</v>
      </c>
      <c r="H82" s="732">
        <v>27030</v>
      </c>
      <c r="I82" s="732">
        <v>1416</v>
      </c>
      <c r="J82" s="732">
        <v>297179</v>
      </c>
      <c r="K82" s="732">
        <v>96000</v>
      </c>
      <c r="L82" s="732">
        <v>620152</v>
      </c>
    </row>
    <row r="83" spans="1:12" ht="15" hidden="1">
      <c r="A83" s="505" t="s">
        <v>54</v>
      </c>
      <c r="B83" s="428" t="s">
        <v>139</v>
      </c>
      <c r="C83" s="667">
        <f>SUM(D83,K83,L83)</f>
        <v>627601</v>
      </c>
      <c r="D83" s="667">
        <f>SUM(E83:J83)</f>
        <v>0</v>
      </c>
      <c r="E83" s="732">
        <v>0</v>
      </c>
      <c r="F83" s="732">
        <v>0</v>
      </c>
      <c r="G83" s="732">
        <v>0</v>
      </c>
      <c r="H83" s="732">
        <v>0</v>
      </c>
      <c r="I83" s="732">
        <v>0</v>
      </c>
      <c r="J83" s="732">
        <v>0</v>
      </c>
      <c r="K83" s="732">
        <v>462731</v>
      </c>
      <c r="L83" s="732">
        <v>164870</v>
      </c>
    </row>
    <row r="84" spans="1:12" ht="15" hidden="1">
      <c r="A84" s="505" t="s">
        <v>140</v>
      </c>
      <c r="B84" s="428" t="s">
        <v>201</v>
      </c>
      <c r="C84" s="667">
        <f>SUM(D84,K84,L84)</f>
        <v>0</v>
      </c>
      <c r="D84" s="667">
        <f>SUM(E84:J84)</f>
        <v>0</v>
      </c>
      <c r="E84" s="732">
        <v>0</v>
      </c>
      <c r="F84" s="732">
        <v>0</v>
      </c>
      <c r="G84" s="732">
        <v>0</v>
      </c>
      <c r="H84" s="732">
        <v>0</v>
      </c>
      <c r="I84" s="732">
        <v>0</v>
      </c>
      <c r="J84" s="732">
        <v>0</v>
      </c>
      <c r="K84" s="732">
        <v>0</v>
      </c>
      <c r="L84" s="732">
        <v>0</v>
      </c>
    </row>
    <row r="85" spans="1:12" ht="15" hidden="1">
      <c r="A85" s="505" t="s">
        <v>142</v>
      </c>
      <c r="B85" s="428" t="s">
        <v>141</v>
      </c>
      <c r="C85" s="672">
        <f>SUM(D85,K85,L85)</f>
        <v>7870743</v>
      </c>
      <c r="D85" s="672">
        <f>SUM(E85:J85)</f>
        <v>273857</v>
      </c>
      <c r="E85" s="732">
        <v>261761</v>
      </c>
      <c r="F85" s="732">
        <v>0</v>
      </c>
      <c r="G85" s="732">
        <v>11565</v>
      </c>
      <c r="H85" s="732">
        <v>0</v>
      </c>
      <c r="I85" s="732">
        <v>0</v>
      </c>
      <c r="J85" s="732">
        <v>531</v>
      </c>
      <c r="K85" s="732">
        <v>890857</v>
      </c>
      <c r="L85" s="732">
        <v>6706029</v>
      </c>
    </row>
    <row r="86" spans="1:12" ht="13.5" customHeight="1" hidden="1">
      <c r="A86" s="505" t="s">
        <v>144</v>
      </c>
      <c r="B86" s="428" t="s">
        <v>143</v>
      </c>
      <c r="C86" s="667">
        <f>D86+K86+L86</f>
        <v>15016266</v>
      </c>
      <c r="D86" s="667">
        <f>E86+F86+G86+H86+I86+J86</f>
        <v>213652</v>
      </c>
      <c r="E86" s="732">
        <v>213652</v>
      </c>
      <c r="F86" s="732">
        <v>0</v>
      </c>
      <c r="G86" s="732">
        <v>0</v>
      </c>
      <c r="H86" s="732">
        <v>0</v>
      </c>
      <c r="I86" s="732">
        <v>0</v>
      </c>
      <c r="J86" s="732">
        <v>0</v>
      </c>
      <c r="K86" s="732">
        <v>0</v>
      </c>
      <c r="L86" s="732">
        <v>14802614</v>
      </c>
    </row>
    <row r="87" spans="1:12" ht="19.5" customHeight="1" hidden="1">
      <c r="A87" s="505" t="s">
        <v>146</v>
      </c>
      <c r="B87" s="428" t="s">
        <v>145</v>
      </c>
      <c r="C87" s="667">
        <f>SUM(D87,K87,L87)</f>
        <v>0</v>
      </c>
      <c r="D87" s="667">
        <f>SUM(E87:J87)</f>
        <v>0</v>
      </c>
      <c r="E87" s="732">
        <v>0</v>
      </c>
      <c r="F87" s="732">
        <v>0</v>
      </c>
      <c r="G87" s="732">
        <v>0</v>
      </c>
      <c r="H87" s="732">
        <v>0</v>
      </c>
      <c r="I87" s="732">
        <v>0</v>
      </c>
      <c r="J87" s="732">
        <v>0</v>
      </c>
      <c r="K87" s="732">
        <v>0</v>
      </c>
      <c r="L87" s="732">
        <v>0</v>
      </c>
    </row>
    <row r="88" spans="1:12" ht="27.75" customHeight="1" hidden="1">
      <c r="A88" s="505" t="s">
        <v>148</v>
      </c>
      <c r="B88" s="430" t="s">
        <v>147</v>
      </c>
      <c r="C88" s="667">
        <f>SUM(D88,K88,L88)</f>
        <v>0</v>
      </c>
      <c r="D88" s="667">
        <f>SUM(E88:J88)</f>
        <v>0</v>
      </c>
      <c r="E88" s="732"/>
      <c r="F88" s="732"/>
      <c r="G88" s="732"/>
      <c r="H88" s="732"/>
      <c r="I88" s="732"/>
      <c r="J88" s="732"/>
      <c r="K88" s="732"/>
      <c r="L88" s="732"/>
    </row>
    <row r="89" spans="1:12" ht="15" hidden="1">
      <c r="A89" s="505" t="s">
        <v>185</v>
      </c>
      <c r="B89" s="428" t="s">
        <v>149</v>
      </c>
      <c r="C89" s="667">
        <f>SUM(D89,K89,L89)</f>
        <v>0</v>
      </c>
      <c r="D89" s="667">
        <f>SUM(E89:J89)</f>
        <v>0</v>
      </c>
      <c r="E89" s="732"/>
      <c r="F89" s="732">
        <v>0</v>
      </c>
      <c r="G89" s="732">
        <v>0</v>
      </c>
      <c r="H89" s="732">
        <v>0</v>
      </c>
      <c r="I89" s="732">
        <v>0</v>
      </c>
      <c r="J89" s="732"/>
      <c r="K89" s="732">
        <v>0</v>
      </c>
      <c r="L89" s="732"/>
    </row>
    <row r="90" spans="1:12" ht="15" hidden="1">
      <c r="A90" s="506" t="s">
        <v>52</v>
      </c>
      <c r="B90" s="394" t="s">
        <v>150</v>
      </c>
      <c r="C90" s="669">
        <f>C75-C78-C81</f>
        <v>21411056</v>
      </c>
      <c r="D90" s="669">
        <f>SUM(E90:J90)</f>
        <v>1063058</v>
      </c>
      <c r="E90" s="669">
        <f>E80-E81</f>
        <v>564200</v>
      </c>
      <c r="F90" s="669">
        <f aca="true" t="shared" si="21" ref="F90:K90">F80-F81</f>
        <v>0</v>
      </c>
      <c r="G90" s="669">
        <f t="shared" si="21"/>
        <v>429439</v>
      </c>
      <c r="H90" s="669">
        <f t="shared" si="21"/>
        <v>0</v>
      </c>
      <c r="I90" s="669">
        <f t="shared" si="21"/>
        <v>69419</v>
      </c>
      <c r="J90" s="669">
        <f t="shared" si="21"/>
        <v>0</v>
      </c>
      <c r="K90" s="669">
        <f t="shared" si="21"/>
        <v>227471</v>
      </c>
      <c r="L90" s="669">
        <f>L80-L81</f>
        <v>20120527</v>
      </c>
    </row>
    <row r="91" spans="1:12" ht="25.5" hidden="1">
      <c r="A91" s="532" t="s">
        <v>538</v>
      </c>
      <c r="B91" s="486" t="s">
        <v>213</v>
      </c>
      <c r="C91" s="530">
        <f>(C82+C83+C84)/C81</f>
        <v>0.07619475051818968</v>
      </c>
      <c r="D91" s="530">
        <f aca="true" t="shared" si="22" ref="D91:L91">(D82+D83+D84)/D81</f>
        <v>0.5273597884162143</v>
      </c>
      <c r="E91" s="531">
        <f t="shared" si="22"/>
        <v>0.25811772416591244</v>
      </c>
      <c r="F91" s="531">
        <f t="shared" si="22"/>
        <v>1</v>
      </c>
      <c r="G91" s="531">
        <f t="shared" si="22"/>
        <v>0.8200924039014981</v>
      </c>
      <c r="H91" s="531">
        <f t="shared" si="22"/>
        <v>1</v>
      </c>
      <c r="I91" s="531">
        <f t="shared" si="22"/>
        <v>1</v>
      </c>
      <c r="J91" s="531">
        <f t="shared" si="22"/>
        <v>0.9982163850727218</v>
      </c>
      <c r="K91" s="531">
        <f t="shared" si="22"/>
        <v>0.38544124261514306</v>
      </c>
      <c r="L91" s="531">
        <f t="shared" si="22"/>
        <v>0.03521278354187165</v>
      </c>
    </row>
    <row r="92" ht="15" hidden="1"/>
    <row r="93" ht="15" hidden="1">
      <c r="B93" s="475" t="s">
        <v>711</v>
      </c>
    </row>
    <row r="94" spans="1:12" ht="15" customHeight="1" hidden="1">
      <c r="A94" s="957" t="s">
        <v>70</v>
      </c>
      <c r="B94" s="958"/>
      <c r="C94" s="1329" t="s">
        <v>37</v>
      </c>
      <c r="D94" s="1349" t="s">
        <v>337</v>
      </c>
      <c r="E94" s="1349"/>
      <c r="F94" s="1349"/>
      <c r="G94" s="1349"/>
      <c r="H94" s="1349"/>
      <c r="I94" s="1349"/>
      <c r="J94" s="1349"/>
      <c r="K94" s="1349"/>
      <c r="L94" s="1349"/>
    </row>
    <row r="95" spans="1:12" ht="15" customHeight="1" hidden="1">
      <c r="A95" s="959"/>
      <c r="B95" s="960"/>
      <c r="C95" s="1329"/>
      <c r="D95" s="1350" t="s">
        <v>205</v>
      </c>
      <c r="E95" s="1351"/>
      <c r="F95" s="1351"/>
      <c r="G95" s="1351"/>
      <c r="H95" s="1351"/>
      <c r="I95" s="1351"/>
      <c r="J95" s="1352"/>
      <c r="K95" s="1353" t="s">
        <v>206</v>
      </c>
      <c r="L95" s="1353" t="s">
        <v>207</v>
      </c>
    </row>
    <row r="96" spans="1:12" ht="15" customHeight="1" hidden="1">
      <c r="A96" s="959"/>
      <c r="B96" s="960"/>
      <c r="C96" s="1329"/>
      <c r="D96" s="1330" t="s">
        <v>36</v>
      </c>
      <c r="E96" s="1344" t="s">
        <v>7</v>
      </c>
      <c r="F96" s="1345"/>
      <c r="G96" s="1345"/>
      <c r="H96" s="1345"/>
      <c r="I96" s="1345"/>
      <c r="J96" s="1346"/>
      <c r="K96" s="1354"/>
      <c r="L96" s="1356"/>
    </row>
    <row r="97" spans="1:12" ht="15" customHeight="1" hidden="1">
      <c r="A97" s="1333"/>
      <c r="B97" s="1334"/>
      <c r="C97" s="1329"/>
      <c r="D97" s="1330"/>
      <c r="E97" s="549" t="s">
        <v>208</v>
      </c>
      <c r="F97" s="549" t="s">
        <v>209</v>
      </c>
      <c r="G97" s="549" t="s">
        <v>210</v>
      </c>
      <c r="H97" s="549" t="s">
        <v>211</v>
      </c>
      <c r="I97" s="549" t="s">
        <v>344</v>
      </c>
      <c r="J97" s="549" t="s">
        <v>212</v>
      </c>
      <c r="K97" s="1355"/>
      <c r="L97" s="1357"/>
    </row>
    <row r="98" spans="1:12" ht="15" hidden="1">
      <c r="A98" s="1331" t="s">
        <v>6</v>
      </c>
      <c r="B98" s="1332"/>
      <c r="C98" s="479">
        <v>1</v>
      </c>
      <c r="D98" s="480">
        <v>2</v>
      </c>
      <c r="E98" s="479">
        <v>3</v>
      </c>
      <c r="F98" s="480">
        <v>4</v>
      </c>
      <c r="G98" s="479">
        <v>5</v>
      </c>
      <c r="H98" s="480">
        <v>6</v>
      </c>
      <c r="I98" s="479">
        <v>7</v>
      </c>
      <c r="J98" s="480">
        <v>8</v>
      </c>
      <c r="K98" s="479">
        <v>9</v>
      </c>
      <c r="L98" s="480">
        <v>10</v>
      </c>
    </row>
    <row r="99" spans="1:12" ht="15" hidden="1">
      <c r="A99" s="504" t="s">
        <v>0</v>
      </c>
      <c r="B99" s="426" t="s">
        <v>130</v>
      </c>
      <c r="C99" s="668">
        <f>D99+K99+L99</f>
        <v>6436581</v>
      </c>
      <c r="D99" s="668">
        <f>E99+F99+G99+H99+I99+J99</f>
        <v>1315330</v>
      </c>
      <c r="E99" s="668">
        <f aca="true" t="shared" si="23" ref="E99:L99">E100+E101</f>
        <v>376060</v>
      </c>
      <c r="F99" s="668">
        <f t="shared" si="23"/>
        <v>300</v>
      </c>
      <c r="G99" s="668">
        <f t="shared" si="23"/>
        <v>490688</v>
      </c>
      <c r="H99" s="668">
        <f t="shared" si="23"/>
        <v>19503</v>
      </c>
      <c r="I99" s="668">
        <f t="shared" si="23"/>
        <v>172981</v>
      </c>
      <c r="J99" s="668">
        <f t="shared" si="23"/>
        <v>255798</v>
      </c>
      <c r="K99" s="668">
        <f t="shared" si="23"/>
        <v>0</v>
      </c>
      <c r="L99" s="668">
        <f t="shared" si="23"/>
        <v>5121251</v>
      </c>
    </row>
    <row r="100" spans="1:12" ht="15.75" hidden="1">
      <c r="A100" s="505">
        <v>1</v>
      </c>
      <c r="B100" s="428" t="s">
        <v>131</v>
      </c>
      <c r="C100" s="667">
        <f>SUM(D100,K100,L100)</f>
        <v>5038231</v>
      </c>
      <c r="D100" s="667">
        <f>SUM(E100:J100)</f>
        <v>962438</v>
      </c>
      <c r="E100" s="823">
        <v>312193</v>
      </c>
      <c r="F100" s="693">
        <v>0</v>
      </c>
      <c r="G100" s="693">
        <v>388339</v>
      </c>
      <c r="H100" s="693">
        <v>0</v>
      </c>
      <c r="I100" s="823">
        <v>99866</v>
      </c>
      <c r="J100" s="693">
        <v>162040</v>
      </c>
      <c r="K100" s="693">
        <v>0</v>
      </c>
      <c r="L100" s="823">
        <v>4075793</v>
      </c>
    </row>
    <row r="101" spans="1:12" ht="15.75" hidden="1">
      <c r="A101" s="505">
        <v>2</v>
      </c>
      <c r="B101" s="428" t="s">
        <v>132</v>
      </c>
      <c r="C101" s="667">
        <f>SUM(D101,K101,L101)</f>
        <v>1398350</v>
      </c>
      <c r="D101" s="667">
        <f>SUM(E101:J101)</f>
        <v>352892</v>
      </c>
      <c r="E101" s="693">
        <v>63867</v>
      </c>
      <c r="F101" s="693">
        <v>300</v>
      </c>
      <c r="G101" s="693">
        <v>102349</v>
      </c>
      <c r="H101" s="693">
        <v>19503</v>
      </c>
      <c r="I101" s="693">
        <v>73115</v>
      </c>
      <c r="J101" s="693">
        <v>93758</v>
      </c>
      <c r="K101" s="693">
        <v>0</v>
      </c>
      <c r="L101" s="693">
        <v>1045458</v>
      </c>
    </row>
    <row r="102" spans="1:12" ht="24.75" customHeight="1" hidden="1">
      <c r="A102" s="506" t="s">
        <v>1</v>
      </c>
      <c r="B102" s="394" t="s">
        <v>133</v>
      </c>
      <c r="C102" s="667">
        <f>SUM(D102,K102,L102)</f>
        <v>127010</v>
      </c>
      <c r="D102" s="667">
        <f>SUM(E102:J102)</f>
        <v>76010</v>
      </c>
      <c r="E102" s="830">
        <v>5860</v>
      </c>
      <c r="F102" s="830">
        <v>0</v>
      </c>
      <c r="G102" s="830">
        <v>0</v>
      </c>
      <c r="H102" s="830">
        <v>0</v>
      </c>
      <c r="I102" s="830">
        <v>70150</v>
      </c>
      <c r="J102" s="830">
        <v>0</v>
      </c>
      <c r="K102" s="830">
        <v>0</v>
      </c>
      <c r="L102" s="830">
        <v>51000</v>
      </c>
    </row>
    <row r="103" spans="1:12" ht="21" customHeight="1" hidden="1">
      <c r="A103" s="506" t="s">
        <v>9</v>
      </c>
      <c r="B103" s="394" t="s">
        <v>134</v>
      </c>
      <c r="C103" s="667">
        <f>SUM(D103,K103,L103)</f>
        <v>0</v>
      </c>
      <c r="D103" s="667">
        <f>SUM(E103:J103)</f>
        <v>0</v>
      </c>
      <c r="E103" s="648"/>
      <c r="F103" s="648"/>
      <c r="G103" s="648"/>
      <c r="H103" s="648"/>
      <c r="I103" s="648"/>
      <c r="J103" s="648"/>
      <c r="K103" s="648"/>
      <c r="L103" s="648"/>
    </row>
    <row r="104" spans="1:12" ht="15" hidden="1">
      <c r="A104" s="506" t="s">
        <v>135</v>
      </c>
      <c r="B104" s="394" t="s">
        <v>136</v>
      </c>
      <c r="C104" s="669">
        <f>SUM(D104,K104,L104)</f>
        <v>6309571</v>
      </c>
      <c r="D104" s="669">
        <f>SUM(E104:J104)</f>
        <v>1239320</v>
      </c>
      <c r="E104" s="668">
        <f aca="true" t="shared" si="24" ref="E104:L104">E99-SUM(E102,E103)</f>
        <v>370200</v>
      </c>
      <c r="F104" s="668">
        <f t="shared" si="24"/>
        <v>300</v>
      </c>
      <c r="G104" s="668">
        <f t="shared" si="24"/>
        <v>490688</v>
      </c>
      <c r="H104" s="669">
        <f t="shared" si="24"/>
        <v>19503</v>
      </c>
      <c r="I104" s="668">
        <f t="shared" si="24"/>
        <v>102831</v>
      </c>
      <c r="J104" s="668">
        <f t="shared" si="24"/>
        <v>255798</v>
      </c>
      <c r="K104" s="668">
        <f t="shared" si="24"/>
        <v>0</v>
      </c>
      <c r="L104" s="668">
        <f t="shared" si="24"/>
        <v>5070251</v>
      </c>
    </row>
    <row r="105" spans="1:12" ht="15" hidden="1">
      <c r="A105" s="506" t="s">
        <v>51</v>
      </c>
      <c r="B105" s="429" t="s">
        <v>137</v>
      </c>
      <c r="C105" s="669">
        <f>C106+C107+C108+C109+C110+C111+C112+C113</f>
        <v>3657072</v>
      </c>
      <c r="D105" s="669">
        <f aca="true" t="shared" si="25" ref="D105:L105">D106+D107+D108+D109+D110+D111+D112+D113</f>
        <v>365460</v>
      </c>
      <c r="E105" s="669">
        <f t="shared" si="25"/>
        <v>88297</v>
      </c>
      <c r="F105" s="669">
        <f t="shared" si="25"/>
        <v>300</v>
      </c>
      <c r="G105" s="669">
        <f t="shared" si="25"/>
        <v>120901</v>
      </c>
      <c r="H105" s="669">
        <f t="shared" si="25"/>
        <v>19503</v>
      </c>
      <c r="I105" s="669">
        <f t="shared" si="25"/>
        <v>2879</v>
      </c>
      <c r="J105" s="669">
        <f t="shared" si="25"/>
        <v>133580</v>
      </c>
      <c r="K105" s="669">
        <f t="shared" si="25"/>
        <v>0</v>
      </c>
      <c r="L105" s="669">
        <f t="shared" si="25"/>
        <v>3291612</v>
      </c>
    </row>
    <row r="106" spans="1:12" ht="15.75" hidden="1">
      <c r="A106" s="505" t="s">
        <v>53</v>
      </c>
      <c r="B106" s="428" t="s">
        <v>138</v>
      </c>
      <c r="C106" s="672">
        <f>SUM(D106,K106,L106)</f>
        <v>738926</v>
      </c>
      <c r="D106" s="672">
        <f>SUM(E106:J106)</f>
        <v>240472</v>
      </c>
      <c r="E106" s="693">
        <v>25241</v>
      </c>
      <c r="F106" s="693">
        <v>300</v>
      </c>
      <c r="G106" s="693">
        <v>85574</v>
      </c>
      <c r="H106" s="693">
        <v>19503</v>
      </c>
      <c r="I106" s="693">
        <v>168</v>
      </c>
      <c r="J106" s="693">
        <v>109686</v>
      </c>
      <c r="K106" s="693">
        <v>0</v>
      </c>
      <c r="L106" s="693">
        <v>498454</v>
      </c>
    </row>
    <row r="107" spans="1:12" ht="15.75" hidden="1">
      <c r="A107" s="505" t="s">
        <v>54</v>
      </c>
      <c r="B107" s="428" t="s">
        <v>139</v>
      </c>
      <c r="C107" s="667">
        <f>SUM(D107,K107,L107)</f>
        <v>30707</v>
      </c>
      <c r="D107" s="667">
        <f>SUM(E107:J107)</f>
        <v>27736</v>
      </c>
      <c r="E107" s="693">
        <v>11555</v>
      </c>
      <c r="F107" s="693">
        <v>0</v>
      </c>
      <c r="G107" s="693">
        <v>300</v>
      </c>
      <c r="H107" s="693">
        <v>0</v>
      </c>
      <c r="I107" s="693">
        <v>0</v>
      </c>
      <c r="J107" s="693">
        <v>15881</v>
      </c>
      <c r="K107" s="693">
        <v>0</v>
      </c>
      <c r="L107" s="693">
        <v>2971</v>
      </c>
    </row>
    <row r="108" spans="1:12" ht="15.75" hidden="1">
      <c r="A108" s="505" t="s">
        <v>140</v>
      </c>
      <c r="B108" s="428" t="s">
        <v>201</v>
      </c>
      <c r="C108" s="667">
        <f>SUM(D108,K108,L108)</f>
        <v>26409</v>
      </c>
      <c r="D108" s="667">
        <f>SUM(E108:J108)</f>
        <v>26409</v>
      </c>
      <c r="E108" s="693">
        <v>0</v>
      </c>
      <c r="F108" s="693">
        <v>0</v>
      </c>
      <c r="G108" s="693">
        <v>18027</v>
      </c>
      <c r="H108" s="693">
        <v>0</v>
      </c>
      <c r="I108" s="693">
        <v>2711</v>
      </c>
      <c r="J108" s="693">
        <v>5671</v>
      </c>
      <c r="K108" s="693">
        <v>0</v>
      </c>
      <c r="L108" s="693">
        <v>0</v>
      </c>
    </row>
    <row r="109" spans="1:12" ht="15.75" hidden="1">
      <c r="A109" s="505" t="s">
        <v>142</v>
      </c>
      <c r="B109" s="428" t="s">
        <v>141</v>
      </c>
      <c r="C109" s="672">
        <f>SUM(D109,K109,L109)</f>
        <v>2741030</v>
      </c>
      <c r="D109" s="672">
        <f>SUM(E109:J109)</f>
        <v>70843</v>
      </c>
      <c r="E109" s="693">
        <v>51501</v>
      </c>
      <c r="F109" s="693">
        <v>0</v>
      </c>
      <c r="G109" s="693">
        <v>17000</v>
      </c>
      <c r="H109" s="693">
        <v>0</v>
      </c>
      <c r="I109" s="693">
        <v>0</v>
      </c>
      <c r="J109" s="693">
        <v>2342</v>
      </c>
      <c r="K109" s="693">
        <v>0</v>
      </c>
      <c r="L109" s="693">
        <v>2670187</v>
      </c>
    </row>
    <row r="110" spans="1:12" ht="15.75" hidden="1">
      <c r="A110" s="505" t="s">
        <v>144</v>
      </c>
      <c r="B110" s="428" t="s">
        <v>143</v>
      </c>
      <c r="C110" s="667">
        <f>D110+K110+L110</f>
        <v>0</v>
      </c>
      <c r="D110" s="667">
        <f>E110+F110+G110+H110+I110+J110</f>
        <v>0</v>
      </c>
      <c r="E110" s="693">
        <v>0</v>
      </c>
      <c r="F110" s="693">
        <v>0</v>
      </c>
      <c r="G110" s="693">
        <v>0</v>
      </c>
      <c r="H110" s="693">
        <v>0</v>
      </c>
      <c r="I110" s="693">
        <v>0</v>
      </c>
      <c r="J110" s="693">
        <v>0</v>
      </c>
      <c r="K110" s="693">
        <v>0</v>
      </c>
      <c r="L110" s="693">
        <v>0</v>
      </c>
    </row>
    <row r="111" spans="1:12" ht="15.75" hidden="1">
      <c r="A111" s="505" t="s">
        <v>146</v>
      </c>
      <c r="B111" s="428" t="s">
        <v>145</v>
      </c>
      <c r="C111" s="667">
        <f>SUM(D111,K111,L111)</f>
        <v>0</v>
      </c>
      <c r="D111" s="667">
        <f>SUM(E111:J111)</f>
        <v>0</v>
      </c>
      <c r="E111" s="693">
        <v>0</v>
      </c>
      <c r="F111" s="693">
        <v>0</v>
      </c>
      <c r="G111" s="693">
        <v>0</v>
      </c>
      <c r="H111" s="693">
        <v>0</v>
      </c>
      <c r="I111" s="693">
        <v>0</v>
      </c>
      <c r="J111" s="693">
        <v>0</v>
      </c>
      <c r="K111" s="693">
        <v>0</v>
      </c>
      <c r="L111" s="693">
        <v>0</v>
      </c>
    </row>
    <row r="112" spans="1:12" ht="25.5" hidden="1">
      <c r="A112" s="505" t="s">
        <v>148</v>
      </c>
      <c r="B112" s="430" t="s">
        <v>147</v>
      </c>
      <c r="C112" s="667">
        <f>SUM(D112,K112,L112)</f>
        <v>0</v>
      </c>
      <c r="D112" s="667">
        <f>SUM(E112:J112)</f>
        <v>0</v>
      </c>
      <c r="E112" s="693">
        <v>0</v>
      </c>
      <c r="F112" s="693">
        <v>0</v>
      </c>
      <c r="G112" s="693">
        <v>0</v>
      </c>
      <c r="H112" s="693">
        <v>0</v>
      </c>
      <c r="I112" s="693">
        <v>0</v>
      </c>
      <c r="J112" s="693">
        <v>0</v>
      </c>
      <c r="K112" s="693">
        <v>0</v>
      </c>
      <c r="L112" s="693">
        <v>0</v>
      </c>
    </row>
    <row r="113" spans="1:12" ht="18" customHeight="1" hidden="1">
      <c r="A113" s="505" t="s">
        <v>185</v>
      </c>
      <c r="B113" s="428" t="s">
        <v>149</v>
      </c>
      <c r="C113" s="667">
        <f>SUM(D113,K113,L113)</f>
        <v>120000</v>
      </c>
      <c r="D113" s="667">
        <f>SUM(E113:J113)</f>
        <v>0</v>
      </c>
      <c r="E113" s="693">
        <v>0</v>
      </c>
      <c r="F113" s="693">
        <v>0</v>
      </c>
      <c r="G113" s="693">
        <v>0</v>
      </c>
      <c r="H113" s="693">
        <v>0</v>
      </c>
      <c r="I113" s="693">
        <v>0</v>
      </c>
      <c r="J113" s="693">
        <v>0</v>
      </c>
      <c r="K113" s="693">
        <v>0</v>
      </c>
      <c r="L113" s="693">
        <v>120000</v>
      </c>
    </row>
    <row r="114" spans="1:12" ht="20.25" customHeight="1" hidden="1">
      <c r="A114" s="506" t="s">
        <v>52</v>
      </c>
      <c r="B114" s="394" t="s">
        <v>150</v>
      </c>
      <c r="C114" s="669">
        <f>C99-C102-C105</f>
        <v>2652499</v>
      </c>
      <c r="D114" s="669">
        <f>SUM(E114:J114)</f>
        <v>873860</v>
      </c>
      <c r="E114" s="669">
        <f>E104-E105</f>
        <v>281903</v>
      </c>
      <c r="F114" s="669">
        <f aca="true" t="shared" si="26" ref="F114:K114">F104-F105</f>
        <v>0</v>
      </c>
      <c r="G114" s="669">
        <f t="shared" si="26"/>
        <v>369787</v>
      </c>
      <c r="H114" s="669">
        <f t="shared" si="26"/>
        <v>0</v>
      </c>
      <c r="I114" s="669">
        <f t="shared" si="26"/>
        <v>99952</v>
      </c>
      <c r="J114" s="669">
        <f t="shared" si="26"/>
        <v>122218</v>
      </c>
      <c r="K114" s="669">
        <f t="shared" si="26"/>
        <v>0</v>
      </c>
      <c r="L114" s="669">
        <f>L104-L105</f>
        <v>1778639</v>
      </c>
    </row>
    <row r="115" spans="1:12" ht="25.5" hidden="1">
      <c r="A115" s="532" t="s">
        <v>538</v>
      </c>
      <c r="B115" s="486" t="s">
        <v>213</v>
      </c>
      <c r="C115" s="530">
        <f>(C106+C107+C108)/C105</f>
        <v>0.21767195176906554</v>
      </c>
      <c r="D115" s="530">
        <f aca="true" t="shared" si="27" ref="D115:L115">(D106+D107+D108)/D105</f>
        <v>0.8061538882504241</v>
      </c>
      <c r="E115" s="531">
        <f t="shared" si="27"/>
        <v>0.4167299002231106</v>
      </c>
      <c r="F115" s="531">
        <f t="shared" si="27"/>
        <v>1</v>
      </c>
      <c r="G115" s="531">
        <f t="shared" si="27"/>
        <v>0.8593890869389004</v>
      </c>
      <c r="H115" s="531">
        <f t="shared" si="27"/>
        <v>1</v>
      </c>
      <c r="I115" s="531">
        <f t="shared" si="27"/>
        <v>1</v>
      </c>
      <c r="J115" s="531">
        <f t="shared" si="27"/>
        <v>0.9824674352447971</v>
      </c>
      <c r="K115" s="531" t="e">
        <f t="shared" si="27"/>
        <v>#DIV/0!</v>
      </c>
      <c r="L115" s="531">
        <f t="shared" si="27"/>
        <v>0.15233417547390155</v>
      </c>
    </row>
    <row r="116" ht="15" hidden="1"/>
    <row r="117" ht="15" hidden="1">
      <c r="B117" s="719" t="s">
        <v>704</v>
      </c>
    </row>
    <row r="118" ht="15" hidden="1"/>
    <row r="119" spans="1:12" ht="15" hidden="1">
      <c r="A119" s="957" t="s">
        <v>70</v>
      </c>
      <c r="B119" s="958"/>
      <c r="C119" s="1329" t="s">
        <v>37</v>
      </c>
      <c r="D119" s="1349" t="s">
        <v>337</v>
      </c>
      <c r="E119" s="1349"/>
      <c r="F119" s="1349"/>
      <c r="G119" s="1349"/>
      <c r="H119" s="1349"/>
      <c r="I119" s="1349"/>
      <c r="J119" s="1349"/>
      <c r="K119" s="1349"/>
      <c r="L119" s="1349"/>
    </row>
    <row r="120" spans="1:12" ht="15" hidden="1">
      <c r="A120" s="959"/>
      <c r="B120" s="960"/>
      <c r="C120" s="1329"/>
      <c r="D120" s="1350" t="s">
        <v>205</v>
      </c>
      <c r="E120" s="1351"/>
      <c r="F120" s="1351"/>
      <c r="G120" s="1351"/>
      <c r="H120" s="1351"/>
      <c r="I120" s="1351"/>
      <c r="J120" s="1352"/>
      <c r="K120" s="1353" t="s">
        <v>206</v>
      </c>
      <c r="L120" s="1353" t="s">
        <v>207</v>
      </c>
    </row>
    <row r="121" spans="1:12" ht="15" hidden="1">
      <c r="A121" s="959"/>
      <c r="B121" s="960"/>
      <c r="C121" s="1329"/>
      <c r="D121" s="1330" t="s">
        <v>36</v>
      </c>
      <c r="E121" s="1344" t="s">
        <v>7</v>
      </c>
      <c r="F121" s="1345"/>
      <c r="G121" s="1345"/>
      <c r="H121" s="1345"/>
      <c r="I121" s="1345"/>
      <c r="J121" s="1346"/>
      <c r="K121" s="1354"/>
      <c r="L121" s="1356"/>
    </row>
    <row r="122" spans="1:12" ht="15" hidden="1">
      <c r="A122" s="1333"/>
      <c r="B122" s="1334"/>
      <c r="C122" s="1329"/>
      <c r="D122" s="1330"/>
      <c r="E122" s="549" t="s">
        <v>208</v>
      </c>
      <c r="F122" s="549" t="s">
        <v>209</v>
      </c>
      <c r="G122" s="549" t="s">
        <v>210</v>
      </c>
      <c r="H122" s="549" t="s">
        <v>211</v>
      </c>
      <c r="I122" s="549" t="s">
        <v>344</v>
      </c>
      <c r="J122" s="549" t="s">
        <v>212</v>
      </c>
      <c r="K122" s="1355"/>
      <c r="L122" s="1357"/>
    </row>
    <row r="123" spans="1:12" ht="12.75" customHeight="1" hidden="1">
      <c r="A123" s="1331" t="s">
        <v>6</v>
      </c>
      <c r="B123" s="1332"/>
      <c r="C123" s="479">
        <v>1</v>
      </c>
      <c r="D123" s="480">
        <v>2</v>
      </c>
      <c r="E123" s="479">
        <v>3</v>
      </c>
      <c r="F123" s="480">
        <v>4</v>
      </c>
      <c r="G123" s="479">
        <v>5</v>
      </c>
      <c r="H123" s="480">
        <v>6</v>
      </c>
      <c r="I123" s="479">
        <v>7</v>
      </c>
      <c r="J123" s="480">
        <v>8</v>
      </c>
      <c r="K123" s="479">
        <v>9</v>
      </c>
      <c r="L123" s="480">
        <v>10</v>
      </c>
    </row>
    <row r="124" spans="1:12" ht="15" hidden="1">
      <c r="A124" s="504" t="s">
        <v>0</v>
      </c>
      <c r="B124" s="426" t="s">
        <v>130</v>
      </c>
      <c r="C124" s="668">
        <f>D124+K124+L124</f>
        <v>20245731</v>
      </c>
      <c r="D124" s="668">
        <f>E124+F124+G124+H124+I124+J124</f>
        <v>2520685</v>
      </c>
      <c r="E124" s="668">
        <f aca="true" t="shared" si="28" ref="E124:L124">E125+E126</f>
        <v>627966</v>
      </c>
      <c r="F124" s="668">
        <f t="shared" si="28"/>
        <v>0</v>
      </c>
      <c r="G124" s="668">
        <f t="shared" si="28"/>
        <v>1011599</v>
      </c>
      <c r="H124" s="668">
        <f t="shared" si="28"/>
        <v>0</v>
      </c>
      <c r="I124" s="668">
        <f t="shared" si="28"/>
        <v>0</v>
      </c>
      <c r="J124" s="668">
        <f t="shared" si="28"/>
        <v>881120</v>
      </c>
      <c r="K124" s="668">
        <f t="shared" si="28"/>
        <v>0</v>
      </c>
      <c r="L124" s="668">
        <f t="shared" si="28"/>
        <v>17725046</v>
      </c>
    </row>
    <row r="125" spans="1:12" ht="15" customHeight="1" hidden="1">
      <c r="A125" s="505">
        <v>1</v>
      </c>
      <c r="B125" s="428" t="s">
        <v>131</v>
      </c>
      <c r="C125" s="667">
        <f>SUM(D125,K125,L125)</f>
        <v>18672023</v>
      </c>
      <c r="D125" s="667">
        <f>SUM(E125:J125)</f>
        <v>2119493</v>
      </c>
      <c r="E125" s="732">
        <v>532104</v>
      </c>
      <c r="F125" s="732">
        <v>0</v>
      </c>
      <c r="G125" s="732">
        <v>919939</v>
      </c>
      <c r="H125" s="732">
        <v>0</v>
      </c>
      <c r="I125" s="732">
        <v>0</v>
      </c>
      <c r="J125" s="732">
        <v>667450</v>
      </c>
      <c r="K125" s="732">
        <v>0</v>
      </c>
      <c r="L125" s="732">
        <v>16552530</v>
      </c>
    </row>
    <row r="126" spans="1:12" ht="18.75" customHeight="1" hidden="1">
      <c r="A126" s="505">
        <v>2</v>
      </c>
      <c r="B126" s="428" t="s">
        <v>132</v>
      </c>
      <c r="C126" s="667">
        <f>SUM(D126,K126,L126)</f>
        <v>1573708</v>
      </c>
      <c r="D126" s="667">
        <f>SUM(E126:J126)</f>
        <v>401192</v>
      </c>
      <c r="E126" s="732">
        <v>95862</v>
      </c>
      <c r="F126" s="732">
        <v>0</v>
      </c>
      <c r="G126" s="732">
        <v>91660</v>
      </c>
      <c r="H126" s="732">
        <v>0</v>
      </c>
      <c r="I126" s="732">
        <v>0</v>
      </c>
      <c r="J126" s="732">
        <v>213670</v>
      </c>
      <c r="K126" s="732">
        <v>0</v>
      </c>
      <c r="L126" s="732">
        <v>1172516</v>
      </c>
    </row>
    <row r="127" spans="1:12" ht="18" customHeight="1" hidden="1">
      <c r="A127" s="506" t="s">
        <v>1</v>
      </c>
      <c r="B127" s="394" t="s">
        <v>133</v>
      </c>
      <c r="C127" s="667">
        <f>SUM(D127,K127,L127)</f>
        <v>3200</v>
      </c>
      <c r="D127" s="667">
        <f>SUM(E127:J127)</f>
        <v>3200</v>
      </c>
      <c r="E127" s="771">
        <v>200</v>
      </c>
      <c r="F127" s="771">
        <v>0</v>
      </c>
      <c r="G127" s="771">
        <v>3000</v>
      </c>
      <c r="H127" s="771">
        <v>0</v>
      </c>
      <c r="I127" s="771">
        <v>0</v>
      </c>
      <c r="J127" s="771">
        <v>0</v>
      </c>
      <c r="K127" s="771">
        <v>0</v>
      </c>
      <c r="L127" s="771">
        <v>0</v>
      </c>
    </row>
    <row r="128" spans="1:12" ht="15" hidden="1">
      <c r="A128" s="506" t="s">
        <v>9</v>
      </c>
      <c r="B128" s="394" t="s">
        <v>134</v>
      </c>
      <c r="C128" s="667">
        <f>SUM(D128,K128,L128)</f>
        <v>0</v>
      </c>
      <c r="D128" s="667">
        <f>SUM(E128:J128)</f>
        <v>0</v>
      </c>
      <c r="E128" s="650"/>
      <c r="F128" s="650"/>
      <c r="G128" s="650"/>
      <c r="H128" s="650"/>
      <c r="I128" s="650"/>
      <c r="J128" s="650"/>
      <c r="K128" s="650"/>
      <c r="L128" s="650"/>
    </row>
    <row r="129" spans="1:12" ht="15" hidden="1">
      <c r="A129" s="506" t="s">
        <v>135</v>
      </c>
      <c r="B129" s="394" t="s">
        <v>136</v>
      </c>
      <c r="C129" s="669">
        <f>SUM(D129,K129,L129)</f>
        <v>20242531</v>
      </c>
      <c r="D129" s="669">
        <f>SUM(E129:J129)</f>
        <v>2517485</v>
      </c>
      <c r="E129" s="670">
        <f aca="true" t="shared" si="29" ref="E129:L129">E124-SUM(E127,E128)</f>
        <v>627766</v>
      </c>
      <c r="F129" s="670">
        <f t="shared" si="29"/>
        <v>0</v>
      </c>
      <c r="G129" s="670">
        <f t="shared" si="29"/>
        <v>1008599</v>
      </c>
      <c r="H129" s="671">
        <f t="shared" si="29"/>
        <v>0</v>
      </c>
      <c r="I129" s="670">
        <f t="shared" si="29"/>
        <v>0</v>
      </c>
      <c r="J129" s="670">
        <f t="shared" si="29"/>
        <v>881120</v>
      </c>
      <c r="K129" s="670">
        <f t="shared" si="29"/>
        <v>0</v>
      </c>
      <c r="L129" s="670">
        <f t="shared" si="29"/>
        <v>17725046</v>
      </c>
    </row>
    <row r="130" spans="1:12" ht="15" hidden="1">
      <c r="A130" s="506" t="s">
        <v>51</v>
      </c>
      <c r="B130" s="429" t="s">
        <v>137</v>
      </c>
      <c r="C130" s="669">
        <f>C131+C132+C133+C134+C135+C136+C137+C138</f>
        <v>5980990</v>
      </c>
      <c r="D130" s="669">
        <f aca="true" t="shared" si="30" ref="D130:L130">D131+D132+D133+D134+D135+D136+D137+D138</f>
        <v>753493</v>
      </c>
      <c r="E130" s="669">
        <f t="shared" si="30"/>
        <v>167023</v>
      </c>
      <c r="F130" s="669">
        <f t="shared" si="30"/>
        <v>0</v>
      </c>
      <c r="G130" s="669">
        <f t="shared" si="30"/>
        <v>372086</v>
      </c>
      <c r="H130" s="669">
        <f t="shared" si="30"/>
        <v>0</v>
      </c>
      <c r="I130" s="669">
        <f t="shared" si="30"/>
        <v>0</v>
      </c>
      <c r="J130" s="669">
        <f t="shared" si="30"/>
        <v>214384</v>
      </c>
      <c r="K130" s="669">
        <f t="shared" si="30"/>
        <v>0</v>
      </c>
      <c r="L130" s="669">
        <f t="shared" si="30"/>
        <v>5227497</v>
      </c>
    </row>
    <row r="131" spans="1:12" ht="15" hidden="1">
      <c r="A131" s="505" t="s">
        <v>53</v>
      </c>
      <c r="B131" s="428" t="s">
        <v>138</v>
      </c>
      <c r="C131" s="672">
        <f>SUM(D131,K131,L131)</f>
        <v>456707</v>
      </c>
      <c r="D131" s="672">
        <f>SUM(E131:J131)</f>
        <v>323650</v>
      </c>
      <c r="E131" s="732">
        <v>79284</v>
      </c>
      <c r="F131" s="732">
        <v>0</v>
      </c>
      <c r="G131" s="732">
        <v>53886</v>
      </c>
      <c r="H131" s="732">
        <v>0</v>
      </c>
      <c r="I131" s="732">
        <v>0</v>
      </c>
      <c r="J131" s="732">
        <v>190480</v>
      </c>
      <c r="K131" s="732">
        <v>0</v>
      </c>
      <c r="L131" s="732">
        <v>133057</v>
      </c>
    </row>
    <row r="132" spans="1:12" ht="15" hidden="1">
      <c r="A132" s="505" t="s">
        <v>54</v>
      </c>
      <c r="B132" s="428" t="s">
        <v>139</v>
      </c>
      <c r="C132" s="667">
        <f>SUM(D132,K132,L132)</f>
        <v>259200</v>
      </c>
      <c r="D132" s="667">
        <f>SUM(E132:J132)</f>
        <v>259200</v>
      </c>
      <c r="E132" s="732">
        <v>600</v>
      </c>
      <c r="F132" s="732">
        <v>0</v>
      </c>
      <c r="G132" s="732">
        <v>258400</v>
      </c>
      <c r="H132" s="732">
        <v>0</v>
      </c>
      <c r="I132" s="732">
        <v>0</v>
      </c>
      <c r="J132" s="732">
        <v>200</v>
      </c>
      <c r="K132" s="732">
        <v>0</v>
      </c>
      <c r="L132" s="732">
        <v>0</v>
      </c>
    </row>
    <row r="133" spans="1:12" ht="15" hidden="1">
      <c r="A133" s="505" t="s">
        <v>140</v>
      </c>
      <c r="B133" s="428" t="s">
        <v>201</v>
      </c>
      <c r="C133" s="667">
        <f>SUM(D133,K133,L133)</f>
        <v>0</v>
      </c>
      <c r="D133" s="667">
        <f>SUM(E133:J133)</f>
        <v>0</v>
      </c>
      <c r="E133" s="732">
        <v>0</v>
      </c>
      <c r="F133" s="732">
        <v>0</v>
      </c>
      <c r="G133" s="732">
        <v>0</v>
      </c>
      <c r="H133" s="732">
        <v>0</v>
      </c>
      <c r="I133" s="732">
        <v>0</v>
      </c>
      <c r="J133" s="732">
        <v>0</v>
      </c>
      <c r="K133" s="732">
        <v>0</v>
      </c>
      <c r="L133" s="732">
        <v>0</v>
      </c>
    </row>
    <row r="134" spans="1:12" ht="15" hidden="1">
      <c r="A134" s="505" t="s">
        <v>142</v>
      </c>
      <c r="B134" s="428" t="s">
        <v>141</v>
      </c>
      <c r="C134" s="672">
        <f>SUM(D134,K134,L134)</f>
        <v>3850183</v>
      </c>
      <c r="D134" s="672">
        <f>SUM(E134:J134)</f>
        <v>144469</v>
      </c>
      <c r="E134" s="732">
        <v>60965</v>
      </c>
      <c r="F134" s="732">
        <v>0</v>
      </c>
      <c r="G134" s="732">
        <v>59800</v>
      </c>
      <c r="H134" s="732">
        <v>0</v>
      </c>
      <c r="I134" s="732">
        <v>0</v>
      </c>
      <c r="J134" s="732">
        <v>23704</v>
      </c>
      <c r="K134" s="732">
        <v>0</v>
      </c>
      <c r="L134" s="732">
        <v>3705714</v>
      </c>
    </row>
    <row r="135" spans="1:12" ht="15" hidden="1">
      <c r="A135" s="505" t="s">
        <v>144</v>
      </c>
      <c r="B135" s="428" t="s">
        <v>143</v>
      </c>
      <c r="C135" s="667">
        <f>D135+K135+L135</f>
        <v>1410932</v>
      </c>
      <c r="D135" s="667">
        <f>E135+F135+G135+H135+I135+J135</f>
        <v>22206</v>
      </c>
      <c r="E135" s="732">
        <v>22206</v>
      </c>
      <c r="F135" s="732">
        <v>0</v>
      </c>
      <c r="G135" s="732">
        <v>0</v>
      </c>
      <c r="H135" s="732">
        <v>0</v>
      </c>
      <c r="I135" s="732">
        <v>0</v>
      </c>
      <c r="J135" s="732">
        <v>0</v>
      </c>
      <c r="K135" s="732">
        <v>0</v>
      </c>
      <c r="L135" s="732">
        <v>1388726</v>
      </c>
    </row>
    <row r="136" spans="1:12" ht="15" hidden="1">
      <c r="A136" s="505" t="s">
        <v>146</v>
      </c>
      <c r="B136" s="428" t="s">
        <v>145</v>
      </c>
      <c r="C136" s="667">
        <f>SUM(D136,K136,L136)</f>
        <v>0</v>
      </c>
      <c r="D136" s="667">
        <f>SUM(E136:J136)</f>
        <v>0</v>
      </c>
      <c r="E136" s="732">
        <v>0</v>
      </c>
      <c r="F136" s="732">
        <v>0</v>
      </c>
      <c r="G136" s="732">
        <v>0</v>
      </c>
      <c r="H136" s="732">
        <v>0</v>
      </c>
      <c r="I136" s="732">
        <v>0</v>
      </c>
      <c r="J136" s="732">
        <v>0</v>
      </c>
      <c r="K136" s="732">
        <v>0</v>
      </c>
      <c r="L136" s="732">
        <v>0</v>
      </c>
    </row>
    <row r="137" spans="1:12" ht="12.75" customHeight="1" hidden="1">
      <c r="A137" s="505" t="s">
        <v>148</v>
      </c>
      <c r="B137" s="430" t="s">
        <v>147</v>
      </c>
      <c r="C137" s="667">
        <f>SUM(D137,K137,L137)</f>
        <v>0</v>
      </c>
      <c r="D137" s="667">
        <f>SUM(E137:J137)</f>
        <v>0</v>
      </c>
      <c r="E137" s="732">
        <v>0</v>
      </c>
      <c r="F137" s="732">
        <v>0</v>
      </c>
      <c r="G137" s="732">
        <v>0</v>
      </c>
      <c r="H137" s="732">
        <v>0</v>
      </c>
      <c r="I137" s="732">
        <v>0</v>
      </c>
      <c r="J137" s="732">
        <v>0</v>
      </c>
      <c r="K137" s="732">
        <v>0</v>
      </c>
      <c r="L137" s="732">
        <v>0</v>
      </c>
    </row>
    <row r="138" spans="1:12" ht="15" hidden="1">
      <c r="A138" s="505" t="s">
        <v>185</v>
      </c>
      <c r="B138" s="428" t="s">
        <v>149</v>
      </c>
      <c r="C138" s="667">
        <f>SUM(D138,K138,L138)</f>
        <v>3968</v>
      </c>
      <c r="D138" s="667">
        <f>SUM(E138:J138)</f>
        <v>3968</v>
      </c>
      <c r="E138" s="732">
        <v>3968</v>
      </c>
      <c r="F138" s="732">
        <v>0</v>
      </c>
      <c r="G138" s="732">
        <v>0</v>
      </c>
      <c r="H138" s="732">
        <v>0</v>
      </c>
      <c r="I138" s="732">
        <v>0</v>
      </c>
      <c r="J138" s="732">
        <v>0</v>
      </c>
      <c r="K138" s="732">
        <v>0</v>
      </c>
      <c r="L138" s="732">
        <v>0</v>
      </c>
    </row>
    <row r="139" spans="1:12" ht="15" hidden="1">
      <c r="A139" s="506" t="s">
        <v>52</v>
      </c>
      <c r="B139" s="394" t="s">
        <v>150</v>
      </c>
      <c r="C139" s="669">
        <f>C124-C127-C130</f>
        <v>14261541</v>
      </c>
      <c r="D139" s="669">
        <f>SUM(E139:J139)</f>
        <v>1763992</v>
      </c>
      <c r="E139" s="669">
        <f>E129-E130</f>
        <v>460743</v>
      </c>
      <c r="F139" s="669">
        <f aca="true" t="shared" si="31" ref="F139:K139">F129-F130</f>
        <v>0</v>
      </c>
      <c r="G139" s="669">
        <f t="shared" si="31"/>
        <v>636513</v>
      </c>
      <c r="H139" s="669">
        <f t="shared" si="31"/>
        <v>0</v>
      </c>
      <c r="I139" s="669">
        <f t="shared" si="31"/>
        <v>0</v>
      </c>
      <c r="J139" s="669">
        <f t="shared" si="31"/>
        <v>666736</v>
      </c>
      <c r="K139" s="669">
        <f t="shared" si="31"/>
        <v>0</v>
      </c>
      <c r="L139" s="669">
        <f>L129-L130</f>
        <v>12497549</v>
      </c>
    </row>
    <row r="140" spans="1:12" ht="25.5" hidden="1">
      <c r="A140" s="532" t="s">
        <v>538</v>
      </c>
      <c r="B140" s="486" t="s">
        <v>213</v>
      </c>
      <c r="C140" s="530">
        <f>(C131+C132+C133)/C130</f>
        <v>0.11969707356140037</v>
      </c>
      <c r="D140" s="530">
        <f aca="true" t="shared" si="32" ref="D140:L140">(D131+D132+D133)/D130</f>
        <v>0.7735307428204377</v>
      </c>
      <c r="E140" s="531">
        <f t="shared" si="32"/>
        <v>0.4782814342934805</v>
      </c>
      <c r="F140" s="531" t="e">
        <f t="shared" si="32"/>
        <v>#DIV/0!</v>
      </c>
      <c r="G140" s="531">
        <f t="shared" si="32"/>
        <v>0.8392844664943051</v>
      </c>
      <c r="H140" s="531" t="e">
        <f t="shared" si="32"/>
        <v>#DIV/0!</v>
      </c>
      <c r="I140" s="531" t="e">
        <f t="shared" si="32"/>
        <v>#DIV/0!</v>
      </c>
      <c r="J140" s="531">
        <f t="shared" si="32"/>
        <v>0.8894320471676991</v>
      </c>
      <c r="K140" s="531" t="e">
        <f t="shared" si="32"/>
        <v>#DIV/0!</v>
      </c>
      <c r="L140" s="531">
        <f t="shared" si="32"/>
        <v>0.025453290551864495</v>
      </c>
    </row>
    <row r="141" ht="15" hidden="1"/>
    <row r="142" ht="15" hidden="1">
      <c r="B142" s="475" t="s">
        <v>703</v>
      </c>
    </row>
    <row r="143" ht="15" hidden="1"/>
    <row r="144" spans="1:12" ht="15" hidden="1">
      <c r="A144" s="957" t="s">
        <v>70</v>
      </c>
      <c r="B144" s="958"/>
      <c r="C144" s="1329" t="s">
        <v>37</v>
      </c>
      <c r="D144" s="1349" t="s">
        <v>337</v>
      </c>
      <c r="E144" s="1349"/>
      <c r="F144" s="1349"/>
      <c r="G144" s="1349"/>
      <c r="H144" s="1349"/>
      <c r="I144" s="1349"/>
      <c r="J144" s="1349"/>
      <c r="K144" s="1349"/>
      <c r="L144" s="1349"/>
    </row>
    <row r="145" spans="1:12" ht="15" hidden="1">
      <c r="A145" s="959"/>
      <c r="B145" s="960"/>
      <c r="C145" s="1329"/>
      <c r="D145" s="1350" t="s">
        <v>205</v>
      </c>
      <c r="E145" s="1351"/>
      <c r="F145" s="1351"/>
      <c r="G145" s="1351"/>
      <c r="H145" s="1351"/>
      <c r="I145" s="1351"/>
      <c r="J145" s="1352"/>
      <c r="K145" s="1353" t="s">
        <v>206</v>
      </c>
      <c r="L145" s="1353" t="s">
        <v>207</v>
      </c>
    </row>
    <row r="146" spans="1:12" ht="15" hidden="1">
      <c r="A146" s="959"/>
      <c r="B146" s="960"/>
      <c r="C146" s="1329"/>
      <c r="D146" s="1330" t="s">
        <v>36</v>
      </c>
      <c r="E146" s="1344" t="s">
        <v>7</v>
      </c>
      <c r="F146" s="1345"/>
      <c r="G146" s="1345"/>
      <c r="H146" s="1345"/>
      <c r="I146" s="1345"/>
      <c r="J146" s="1346"/>
      <c r="K146" s="1354"/>
      <c r="L146" s="1356"/>
    </row>
    <row r="147" spans="1:12" ht="18" customHeight="1" hidden="1">
      <c r="A147" s="1333"/>
      <c r="B147" s="1334"/>
      <c r="C147" s="1329"/>
      <c r="D147" s="1330"/>
      <c r="E147" s="549" t="s">
        <v>208</v>
      </c>
      <c r="F147" s="549" t="s">
        <v>209</v>
      </c>
      <c r="G147" s="549" t="s">
        <v>210</v>
      </c>
      <c r="H147" s="549" t="s">
        <v>211</v>
      </c>
      <c r="I147" s="549" t="s">
        <v>344</v>
      </c>
      <c r="J147" s="549" t="s">
        <v>212</v>
      </c>
      <c r="K147" s="1355"/>
      <c r="L147" s="1357"/>
    </row>
    <row r="148" spans="1:12" ht="17.25" customHeight="1" hidden="1">
      <c r="A148" s="1331" t="s">
        <v>6</v>
      </c>
      <c r="B148" s="1332"/>
      <c r="C148" s="479">
        <v>1</v>
      </c>
      <c r="D148" s="480">
        <v>2</v>
      </c>
      <c r="E148" s="479">
        <v>3</v>
      </c>
      <c r="F148" s="480">
        <v>4</v>
      </c>
      <c r="G148" s="479">
        <v>5</v>
      </c>
      <c r="H148" s="480">
        <v>6</v>
      </c>
      <c r="I148" s="479">
        <v>7</v>
      </c>
      <c r="J148" s="480">
        <v>8</v>
      </c>
      <c r="K148" s="479">
        <v>9</v>
      </c>
      <c r="L148" s="480">
        <v>10</v>
      </c>
    </row>
    <row r="149" spans="1:12" ht="17.25" customHeight="1" hidden="1">
      <c r="A149" s="504" t="s">
        <v>0</v>
      </c>
      <c r="B149" s="426" t="s">
        <v>130</v>
      </c>
      <c r="C149" s="668">
        <f>D149+K149+L149</f>
        <v>12664818</v>
      </c>
      <c r="D149" s="668">
        <f>E149+F149+G149+H149+I149+J149</f>
        <v>536128</v>
      </c>
      <c r="E149" s="668">
        <f aca="true" t="shared" si="33" ref="E149:L149">E150+E151</f>
        <v>241775</v>
      </c>
      <c r="F149" s="668">
        <f t="shared" si="33"/>
        <v>0</v>
      </c>
      <c r="G149" s="668">
        <f t="shared" si="33"/>
        <v>107682</v>
      </c>
      <c r="H149" s="668">
        <f t="shared" si="33"/>
        <v>1093</v>
      </c>
      <c r="I149" s="668">
        <f t="shared" si="33"/>
        <v>126178</v>
      </c>
      <c r="J149" s="668">
        <f t="shared" si="33"/>
        <v>59400</v>
      </c>
      <c r="K149" s="668">
        <f t="shared" si="33"/>
        <v>7455288</v>
      </c>
      <c r="L149" s="668">
        <f t="shared" si="33"/>
        <v>4673402</v>
      </c>
    </row>
    <row r="150" spans="1:12" ht="15" hidden="1">
      <c r="A150" s="505">
        <v>1</v>
      </c>
      <c r="B150" s="428" t="s">
        <v>131</v>
      </c>
      <c r="C150" s="667">
        <f>SUM(D150,K150,L150)</f>
        <v>10602855</v>
      </c>
      <c r="D150" s="667">
        <f>SUM(E150:J150)</f>
        <v>388593</v>
      </c>
      <c r="E150" s="750">
        <v>162138</v>
      </c>
      <c r="F150" s="750">
        <v>0</v>
      </c>
      <c r="G150" s="750">
        <v>101332</v>
      </c>
      <c r="H150" s="750">
        <v>693</v>
      </c>
      <c r="I150" s="750">
        <v>124430</v>
      </c>
      <c r="J150" s="750">
        <v>0</v>
      </c>
      <c r="K150" s="750">
        <v>7455288</v>
      </c>
      <c r="L150" s="750">
        <v>2758974</v>
      </c>
    </row>
    <row r="151" spans="1:12" ht="15" hidden="1">
      <c r="A151" s="505">
        <v>2</v>
      </c>
      <c r="B151" s="428" t="s">
        <v>132</v>
      </c>
      <c r="C151" s="667">
        <f>SUM(D151,K151,L151)</f>
        <v>2061963</v>
      </c>
      <c r="D151" s="667">
        <f>SUM(E151:J151)</f>
        <v>147535</v>
      </c>
      <c r="E151" s="750">
        <v>79637</v>
      </c>
      <c r="F151" s="750">
        <v>0</v>
      </c>
      <c r="G151" s="750">
        <v>6350</v>
      </c>
      <c r="H151" s="750">
        <v>400</v>
      </c>
      <c r="I151" s="750">
        <v>1748</v>
      </c>
      <c r="J151" s="750">
        <v>59400</v>
      </c>
      <c r="K151" s="750"/>
      <c r="L151" s="750">
        <v>1914428</v>
      </c>
    </row>
    <row r="152" spans="1:12" ht="15" hidden="1">
      <c r="A152" s="506" t="s">
        <v>1</v>
      </c>
      <c r="B152" s="394" t="s">
        <v>133</v>
      </c>
      <c r="C152" s="667">
        <f>SUM(D152,K152,L152)</f>
        <v>7455538</v>
      </c>
      <c r="D152" s="667">
        <f>SUM(E152:J152)</f>
        <v>250</v>
      </c>
      <c r="E152" s="690">
        <v>250</v>
      </c>
      <c r="F152" s="690"/>
      <c r="G152" s="690"/>
      <c r="H152" s="690"/>
      <c r="I152" s="690"/>
      <c r="J152" s="690"/>
      <c r="K152" s="690">
        <v>7455288</v>
      </c>
      <c r="L152" s="690"/>
    </row>
    <row r="153" spans="1:12" ht="15" hidden="1">
      <c r="A153" s="506" t="s">
        <v>9</v>
      </c>
      <c r="B153" s="394" t="s">
        <v>134</v>
      </c>
      <c r="C153" s="667">
        <f>SUM(D153,K153,L153)</f>
        <v>0</v>
      </c>
      <c r="D153" s="667">
        <f>SUM(E153:J153)</f>
        <v>0</v>
      </c>
      <c r="E153" s="690"/>
      <c r="F153" s="690"/>
      <c r="G153" s="690"/>
      <c r="H153" s="690"/>
      <c r="I153" s="690"/>
      <c r="J153" s="690"/>
      <c r="K153" s="690"/>
      <c r="L153" s="690"/>
    </row>
    <row r="154" spans="1:12" ht="15" hidden="1">
      <c r="A154" s="506" t="s">
        <v>135</v>
      </c>
      <c r="B154" s="394" t="s">
        <v>136</v>
      </c>
      <c r="C154" s="669">
        <f>SUM(D154,K154,L154)</f>
        <v>5209280</v>
      </c>
      <c r="D154" s="669">
        <f>SUM(E154:J154)</f>
        <v>535878</v>
      </c>
      <c r="E154" s="670">
        <f aca="true" t="shared" si="34" ref="E154:L154">E149-SUM(E152,E153)</f>
        <v>241525</v>
      </c>
      <c r="F154" s="670">
        <f t="shared" si="34"/>
        <v>0</v>
      </c>
      <c r="G154" s="670">
        <f t="shared" si="34"/>
        <v>107682</v>
      </c>
      <c r="H154" s="671">
        <f t="shared" si="34"/>
        <v>1093</v>
      </c>
      <c r="I154" s="670">
        <f t="shared" si="34"/>
        <v>126178</v>
      </c>
      <c r="J154" s="670">
        <f t="shared" si="34"/>
        <v>59400</v>
      </c>
      <c r="K154" s="670">
        <f t="shared" si="34"/>
        <v>0</v>
      </c>
      <c r="L154" s="670">
        <f t="shared" si="34"/>
        <v>4673402</v>
      </c>
    </row>
    <row r="155" spans="1:12" ht="15" hidden="1">
      <c r="A155" s="506" t="s">
        <v>51</v>
      </c>
      <c r="B155" s="429" t="s">
        <v>137</v>
      </c>
      <c r="C155" s="669">
        <f>C156+C157+C158+C159+C160+C161+C162+C163</f>
        <v>1672581</v>
      </c>
      <c r="D155" s="669">
        <f aca="true" t="shared" si="35" ref="D155:L155">D156+D157+D158+D159+D160+D161+D162+D163</f>
        <v>207668</v>
      </c>
      <c r="E155" s="669">
        <f t="shared" si="35"/>
        <v>120532</v>
      </c>
      <c r="F155" s="669">
        <f t="shared" si="35"/>
        <v>0</v>
      </c>
      <c r="G155" s="669">
        <f t="shared" si="35"/>
        <v>24732</v>
      </c>
      <c r="H155" s="669">
        <f t="shared" si="35"/>
        <v>1093</v>
      </c>
      <c r="I155" s="669">
        <f t="shared" si="35"/>
        <v>1911</v>
      </c>
      <c r="J155" s="669">
        <f t="shared" si="35"/>
        <v>59400</v>
      </c>
      <c r="K155" s="669">
        <f t="shared" si="35"/>
        <v>0</v>
      </c>
      <c r="L155" s="669">
        <f t="shared" si="35"/>
        <v>1464913</v>
      </c>
    </row>
    <row r="156" spans="1:12" ht="15" hidden="1">
      <c r="A156" s="505" t="s">
        <v>53</v>
      </c>
      <c r="B156" s="428" t="s">
        <v>138</v>
      </c>
      <c r="C156" s="672">
        <f>SUM(D156,K156,L156)</f>
        <v>335476</v>
      </c>
      <c r="D156" s="672">
        <f>SUM(E156:J156)</f>
        <v>139895</v>
      </c>
      <c r="E156" s="691">
        <v>57159</v>
      </c>
      <c r="F156" s="691">
        <v>0</v>
      </c>
      <c r="G156" s="691">
        <v>20332</v>
      </c>
      <c r="H156" s="691">
        <v>1093</v>
      </c>
      <c r="I156" s="691">
        <v>1911</v>
      </c>
      <c r="J156" s="691">
        <v>59400</v>
      </c>
      <c r="K156" s="691">
        <v>0</v>
      </c>
      <c r="L156" s="691">
        <v>195581</v>
      </c>
    </row>
    <row r="157" spans="1:12" ht="15" hidden="1">
      <c r="A157" s="505" t="s">
        <v>54</v>
      </c>
      <c r="B157" s="428" t="s">
        <v>139</v>
      </c>
      <c r="C157" s="667">
        <f>SUM(D157,K157,L157)</f>
        <v>33421</v>
      </c>
      <c r="D157" s="667">
        <f>SUM(E157:J157)</f>
        <v>4640</v>
      </c>
      <c r="E157" s="691">
        <v>4640</v>
      </c>
      <c r="F157" s="691"/>
      <c r="G157" s="691"/>
      <c r="H157" s="691"/>
      <c r="I157" s="691"/>
      <c r="J157" s="691"/>
      <c r="K157" s="691"/>
      <c r="L157" s="691">
        <v>28781</v>
      </c>
    </row>
    <row r="158" spans="1:12" ht="15" hidden="1">
      <c r="A158" s="505" t="s">
        <v>140</v>
      </c>
      <c r="B158" s="428" t="s">
        <v>201</v>
      </c>
      <c r="C158" s="667">
        <f>SUM(D158,K158,L158)</f>
        <v>0</v>
      </c>
      <c r="D158" s="667">
        <f>SUM(E158:J158)</f>
        <v>0</v>
      </c>
      <c r="E158" s="691"/>
      <c r="F158" s="691"/>
      <c r="G158" s="691"/>
      <c r="H158" s="691"/>
      <c r="I158" s="691"/>
      <c r="J158" s="691"/>
      <c r="K158" s="691"/>
      <c r="L158" s="691"/>
    </row>
    <row r="159" spans="1:12" ht="15" hidden="1">
      <c r="A159" s="505" t="s">
        <v>142</v>
      </c>
      <c r="B159" s="428" t="s">
        <v>141</v>
      </c>
      <c r="C159" s="672">
        <f>SUM(D159,K159,L159)</f>
        <v>1018484</v>
      </c>
      <c r="D159" s="672">
        <f>SUM(E159:J159)</f>
        <v>63133</v>
      </c>
      <c r="E159" s="691">
        <v>58733</v>
      </c>
      <c r="F159" s="691">
        <v>0</v>
      </c>
      <c r="G159" s="691">
        <v>4400</v>
      </c>
      <c r="H159" s="691"/>
      <c r="I159" s="691"/>
      <c r="J159" s="691"/>
      <c r="K159" s="691"/>
      <c r="L159" s="691">
        <v>955351</v>
      </c>
    </row>
    <row r="160" spans="1:12" ht="18.75" customHeight="1" hidden="1">
      <c r="A160" s="505" t="s">
        <v>144</v>
      </c>
      <c r="B160" s="428" t="s">
        <v>143</v>
      </c>
      <c r="C160" s="667">
        <f>D160+K160+L160</f>
        <v>285200</v>
      </c>
      <c r="D160" s="667">
        <f>E160+F160+G160+H160+I160+J160</f>
        <v>0</v>
      </c>
      <c r="E160" s="691"/>
      <c r="F160" s="691"/>
      <c r="G160" s="691"/>
      <c r="H160" s="691"/>
      <c r="I160" s="691"/>
      <c r="J160" s="691"/>
      <c r="K160" s="691"/>
      <c r="L160" s="691">
        <v>285200</v>
      </c>
    </row>
    <row r="161" spans="1:12" ht="15" hidden="1">
      <c r="A161" s="505" t="s">
        <v>146</v>
      </c>
      <c r="B161" s="428" t="s">
        <v>145</v>
      </c>
      <c r="C161" s="667">
        <f>SUM(D161,K161,L161)</f>
        <v>0</v>
      </c>
      <c r="D161" s="667">
        <f>SUM(E161:J161)</f>
        <v>0</v>
      </c>
      <c r="E161" s="691"/>
      <c r="F161" s="691"/>
      <c r="G161" s="691"/>
      <c r="H161" s="691"/>
      <c r="I161" s="691"/>
      <c r="J161" s="691"/>
      <c r="K161" s="691"/>
      <c r="L161" s="691"/>
    </row>
    <row r="162" spans="1:12" ht="25.5" hidden="1">
      <c r="A162" s="505" t="s">
        <v>148</v>
      </c>
      <c r="B162" s="430" t="s">
        <v>147</v>
      </c>
      <c r="C162" s="667">
        <f>SUM(D162,K162,L162)</f>
        <v>0</v>
      </c>
      <c r="D162" s="667">
        <f>SUM(E162:J162)</f>
        <v>0</v>
      </c>
      <c r="E162" s="691"/>
      <c r="F162" s="691"/>
      <c r="G162" s="691"/>
      <c r="H162" s="691"/>
      <c r="I162" s="691"/>
      <c r="J162" s="691"/>
      <c r="K162" s="691"/>
      <c r="L162" s="691"/>
    </row>
    <row r="163" spans="1:12" ht="15" hidden="1">
      <c r="A163" s="505" t="s">
        <v>185</v>
      </c>
      <c r="B163" s="428" t="s">
        <v>149</v>
      </c>
      <c r="C163" s="667">
        <f>SUM(D163,K163,L163)</f>
        <v>0</v>
      </c>
      <c r="D163" s="667">
        <f>SUM(E163:J163)</f>
        <v>0</v>
      </c>
      <c r="E163" s="691"/>
      <c r="F163" s="691"/>
      <c r="G163" s="691"/>
      <c r="H163" s="691"/>
      <c r="I163" s="691"/>
      <c r="J163" s="691"/>
      <c r="K163" s="691"/>
      <c r="L163" s="691"/>
    </row>
    <row r="164" spans="1:12" ht="12.75" customHeight="1" hidden="1">
      <c r="A164" s="506" t="s">
        <v>52</v>
      </c>
      <c r="B164" s="394" t="s">
        <v>150</v>
      </c>
      <c r="C164" s="669">
        <f>C149-C152-C155</f>
        <v>3536699</v>
      </c>
      <c r="D164" s="669">
        <f>SUM(E164:J164)</f>
        <v>328210</v>
      </c>
      <c r="E164" s="669">
        <f>E154-E155</f>
        <v>120993</v>
      </c>
      <c r="F164" s="669">
        <f aca="true" t="shared" si="36" ref="F164:K164">F154-F155</f>
        <v>0</v>
      </c>
      <c r="G164" s="669">
        <f t="shared" si="36"/>
        <v>82950</v>
      </c>
      <c r="H164" s="669">
        <f t="shared" si="36"/>
        <v>0</v>
      </c>
      <c r="I164" s="669">
        <f t="shared" si="36"/>
        <v>124267</v>
      </c>
      <c r="J164" s="669">
        <f t="shared" si="36"/>
        <v>0</v>
      </c>
      <c r="K164" s="669">
        <f t="shared" si="36"/>
        <v>0</v>
      </c>
      <c r="L164" s="669">
        <f>L154-L155</f>
        <v>3208489</v>
      </c>
    </row>
    <row r="165" spans="1:12" ht="25.5" hidden="1">
      <c r="A165" s="532" t="s">
        <v>538</v>
      </c>
      <c r="B165" s="486" t="s">
        <v>213</v>
      </c>
      <c r="C165" s="530">
        <f>(C156+C157+C158)/C155</f>
        <v>0.22055553662274055</v>
      </c>
      <c r="D165" s="530">
        <f aca="true" t="shared" si="37" ref="D165:L165">(D156+D157+D158)/D155</f>
        <v>0.6959907159504594</v>
      </c>
      <c r="E165" s="531">
        <f t="shared" si="37"/>
        <v>0.5127186141439618</v>
      </c>
      <c r="F165" s="531" t="e">
        <f t="shared" si="37"/>
        <v>#DIV/0!</v>
      </c>
      <c r="G165" s="531">
        <f t="shared" si="37"/>
        <v>0.8220928351932719</v>
      </c>
      <c r="H165" s="531">
        <f t="shared" si="37"/>
        <v>1</v>
      </c>
      <c r="I165" s="531">
        <f t="shared" si="37"/>
        <v>1</v>
      </c>
      <c r="J165" s="531">
        <f t="shared" si="37"/>
        <v>1</v>
      </c>
      <c r="K165" s="531" t="e">
        <f t="shared" si="37"/>
        <v>#DIV/0!</v>
      </c>
      <c r="L165" s="531">
        <f t="shared" si="37"/>
        <v>0.15315721821022818</v>
      </c>
    </row>
    <row r="166" ht="0.75" customHeight="1" hidden="1"/>
    <row r="167" ht="19.5" customHeight="1" hidden="1"/>
    <row r="168" ht="19.5" customHeight="1" hidden="1">
      <c r="B168" s="475" t="s">
        <v>705</v>
      </c>
    </row>
    <row r="169" spans="1:12" ht="11.25" customHeight="1" hidden="1">
      <c r="A169" s="957" t="s">
        <v>70</v>
      </c>
      <c r="B169" s="958"/>
      <c r="C169" s="1329" t="s">
        <v>37</v>
      </c>
      <c r="D169" s="1349" t="s">
        <v>337</v>
      </c>
      <c r="E169" s="1349"/>
      <c r="F169" s="1349"/>
      <c r="G169" s="1349"/>
      <c r="H169" s="1349"/>
      <c r="I169" s="1349"/>
      <c r="J169" s="1349"/>
      <c r="K169" s="1349"/>
      <c r="L169" s="1349"/>
    </row>
    <row r="170" spans="1:12" ht="15" hidden="1">
      <c r="A170" s="959"/>
      <c r="B170" s="960"/>
      <c r="C170" s="1329"/>
      <c r="D170" s="1350" t="s">
        <v>205</v>
      </c>
      <c r="E170" s="1351"/>
      <c r="F170" s="1351"/>
      <c r="G170" s="1351"/>
      <c r="H170" s="1351"/>
      <c r="I170" s="1351"/>
      <c r="J170" s="1352"/>
      <c r="K170" s="1353" t="s">
        <v>206</v>
      </c>
      <c r="L170" s="1353" t="s">
        <v>207</v>
      </c>
    </row>
    <row r="171" spans="1:12" ht="15" hidden="1">
      <c r="A171" s="959"/>
      <c r="B171" s="960"/>
      <c r="C171" s="1329"/>
      <c r="D171" s="1330" t="s">
        <v>36</v>
      </c>
      <c r="E171" s="1344" t="s">
        <v>7</v>
      </c>
      <c r="F171" s="1345"/>
      <c r="G171" s="1345"/>
      <c r="H171" s="1345"/>
      <c r="I171" s="1345"/>
      <c r="J171" s="1346"/>
      <c r="K171" s="1354"/>
      <c r="L171" s="1356"/>
    </row>
    <row r="172" spans="1:12" ht="15" hidden="1">
      <c r="A172" s="1333"/>
      <c r="B172" s="1334"/>
      <c r="C172" s="1329"/>
      <c r="D172" s="1330"/>
      <c r="E172" s="549" t="s">
        <v>208</v>
      </c>
      <c r="F172" s="549" t="s">
        <v>209</v>
      </c>
      <c r="G172" s="549" t="s">
        <v>210</v>
      </c>
      <c r="H172" s="549" t="s">
        <v>211</v>
      </c>
      <c r="I172" s="549" t="s">
        <v>344</v>
      </c>
      <c r="J172" s="549" t="s">
        <v>212</v>
      </c>
      <c r="K172" s="1355"/>
      <c r="L172" s="1357"/>
    </row>
    <row r="173" spans="1:12" ht="15" hidden="1">
      <c r="A173" s="1331" t="s">
        <v>6</v>
      </c>
      <c r="B173" s="1332"/>
      <c r="C173" s="479">
        <v>1</v>
      </c>
      <c r="D173" s="480">
        <v>2</v>
      </c>
      <c r="E173" s="479">
        <v>3</v>
      </c>
      <c r="F173" s="480">
        <v>4</v>
      </c>
      <c r="G173" s="479">
        <v>5</v>
      </c>
      <c r="H173" s="480">
        <v>6</v>
      </c>
      <c r="I173" s="479">
        <v>7</v>
      </c>
      <c r="J173" s="480">
        <v>8</v>
      </c>
      <c r="K173" s="479">
        <v>9</v>
      </c>
      <c r="L173" s="480">
        <v>10</v>
      </c>
    </row>
    <row r="174" spans="1:12" ht="15" customHeight="1" hidden="1">
      <c r="A174" s="504" t="s">
        <v>0</v>
      </c>
      <c r="B174" s="426" t="s">
        <v>130</v>
      </c>
      <c r="C174" s="668">
        <f>D174+K174+L174</f>
        <v>5756664</v>
      </c>
      <c r="D174" s="668">
        <f>E174+F174+G174+H174+I174+J174</f>
        <v>1008376</v>
      </c>
      <c r="E174" s="668">
        <f aca="true" t="shared" si="38" ref="E174:L174">E175+E176</f>
        <v>211425</v>
      </c>
      <c r="F174" s="668">
        <f t="shared" si="38"/>
        <v>0</v>
      </c>
      <c r="G174" s="668">
        <f t="shared" si="38"/>
        <v>421476</v>
      </c>
      <c r="H174" s="668">
        <f t="shared" si="38"/>
        <v>61988</v>
      </c>
      <c r="I174" s="668">
        <f t="shared" si="38"/>
        <v>235484</v>
      </c>
      <c r="J174" s="668">
        <f t="shared" si="38"/>
        <v>78003</v>
      </c>
      <c r="K174" s="668">
        <f t="shared" si="38"/>
        <v>223527</v>
      </c>
      <c r="L174" s="668">
        <f t="shared" si="38"/>
        <v>4524761</v>
      </c>
    </row>
    <row r="175" spans="1:12" ht="15" hidden="1">
      <c r="A175" s="505">
        <v>1</v>
      </c>
      <c r="B175" s="428" t="s">
        <v>131</v>
      </c>
      <c r="C175" s="667">
        <f>SUM(D175,K175,L175)</f>
        <v>4446120</v>
      </c>
      <c r="D175" s="667">
        <f>SUM(E175:J175)</f>
        <v>705698</v>
      </c>
      <c r="E175" s="647">
        <f>4628+48637+46095+26212</f>
        <v>125572</v>
      </c>
      <c r="F175" s="647"/>
      <c r="G175" s="647">
        <f>40998+36838+103259+135177</f>
        <v>316272</v>
      </c>
      <c r="H175" s="647">
        <f>32000+0+0</f>
        <v>32000</v>
      </c>
      <c r="I175" s="647">
        <f>0+224054+4300+3500</f>
        <v>231854</v>
      </c>
      <c r="J175" s="647">
        <f>0+0+0</f>
        <v>0</v>
      </c>
      <c r="K175" s="647">
        <f>0+2929+207887</f>
        <v>210816</v>
      </c>
      <c r="L175" s="647">
        <f>257629+576450+1739627+955900</f>
        <v>3529606</v>
      </c>
    </row>
    <row r="176" spans="1:19" ht="15" hidden="1">
      <c r="A176" s="505">
        <v>2</v>
      </c>
      <c r="B176" s="428" t="s">
        <v>132</v>
      </c>
      <c r="C176" s="667">
        <f>SUM(D176,K176,L176)</f>
        <v>1310544</v>
      </c>
      <c r="D176" s="667">
        <f>SUM(E176:J176)</f>
        <v>302678</v>
      </c>
      <c r="E176" s="648">
        <f>7400+25847+12992+39614</f>
        <v>85853</v>
      </c>
      <c r="F176" s="648"/>
      <c r="G176" s="648">
        <f>60747+3194+35207+6056</f>
        <v>105204</v>
      </c>
      <c r="H176" s="648">
        <f>8678+12410+8000+900</f>
        <v>29988</v>
      </c>
      <c r="I176" s="648">
        <f>2880+500+250+0</f>
        <v>3630</v>
      </c>
      <c r="J176" s="648">
        <f>19107+25937+16693+16266</f>
        <v>78003</v>
      </c>
      <c r="K176" s="648">
        <f>0+0+12711</f>
        <v>12711</v>
      </c>
      <c r="L176" s="648">
        <f>0+57950+345304+591901</f>
        <v>995155</v>
      </c>
      <c r="S176" s="719" t="s">
        <v>718</v>
      </c>
    </row>
    <row r="177" spans="1:12" ht="15" hidden="1">
      <c r="A177" s="506" t="s">
        <v>1</v>
      </c>
      <c r="B177" s="394" t="s">
        <v>133</v>
      </c>
      <c r="C177" s="667">
        <f>SUM(D177,K177,L177)</f>
        <v>13900</v>
      </c>
      <c r="D177" s="667">
        <f>SUM(E177:J177)</f>
        <v>13900</v>
      </c>
      <c r="E177" s="649">
        <v>1900</v>
      </c>
      <c r="F177" s="649"/>
      <c r="G177" s="649">
        <v>12000</v>
      </c>
      <c r="H177" s="649"/>
      <c r="I177" s="649"/>
      <c r="J177" s="649"/>
      <c r="K177" s="649"/>
      <c r="L177" s="649"/>
    </row>
    <row r="178" spans="1:12" ht="15" hidden="1">
      <c r="A178" s="506" t="s">
        <v>9</v>
      </c>
      <c r="B178" s="394" t="s">
        <v>134</v>
      </c>
      <c r="C178" s="667">
        <f>SUM(D178,K178,L178)</f>
        <v>0</v>
      </c>
      <c r="D178" s="667">
        <f>SUM(E178:J178)</f>
        <v>0</v>
      </c>
      <c r="E178" s="690"/>
      <c r="F178" s="690"/>
      <c r="G178" s="690"/>
      <c r="H178" s="690"/>
      <c r="I178" s="690"/>
      <c r="J178" s="690"/>
      <c r="K178" s="690"/>
      <c r="L178" s="690"/>
    </row>
    <row r="179" spans="1:12" ht="15" hidden="1">
      <c r="A179" s="506" t="s">
        <v>135</v>
      </c>
      <c r="B179" s="394" t="s">
        <v>136</v>
      </c>
      <c r="C179" s="669">
        <f>SUM(D179,K179,L179)</f>
        <v>5742764</v>
      </c>
      <c r="D179" s="669">
        <f>SUM(E179:J179)</f>
        <v>994476</v>
      </c>
      <c r="E179" s="670">
        <f aca="true" t="shared" si="39" ref="E179:L179">E174-SUM(E177,E178)</f>
        <v>209525</v>
      </c>
      <c r="F179" s="670">
        <f t="shared" si="39"/>
        <v>0</v>
      </c>
      <c r="G179" s="670">
        <f t="shared" si="39"/>
        <v>409476</v>
      </c>
      <c r="H179" s="671">
        <f t="shared" si="39"/>
        <v>61988</v>
      </c>
      <c r="I179" s="670">
        <f t="shared" si="39"/>
        <v>235484</v>
      </c>
      <c r="J179" s="670">
        <f t="shared" si="39"/>
        <v>78003</v>
      </c>
      <c r="K179" s="670">
        <f t="shared" si="39"/>
        <v>223527</v>
      </c>
      <c r="L179" s="670">
        <f t="shared" si="39"/>
        <v>4524761</v>
      </c>
    </row>
    <row r="180" spans="1:12" ht="15" hidden="1">
      <c r="A180" s="506" t="s">
        <v>51</v>
      </c>
      <c r="B180" s="429" t="s">
        <v>137</v>
      </c>
      <c r="C180" s="669">
        <f>C181+C182+C183+C184+C185+C186+C187+C188</f>
        <v>2835906</v>
      </c>
      <c r="D180" s="669">
        <f aca="true" t="shared" si="40" ref="D180:L180">D181+D182+D183+D184+D185+D186+D187+D188</f>
        <v>351732</v>
      </c>
      <c r="E180" s="669">
        <f t="shared" si="40"/>
        <v>125404</v>
      </c>
      <c r="F180" s="669">
        <f t="shared" si="40"/>
        <v>0</v>
      </c>
      <c r="G180" s="669">
        <f t="shared" si="40"/>
        <v>124835</v>
      </c>
      <c r="H180" s="669">
        <f t="shared" si="40"/>
        <v>19860</v>
      </c>
      <c r="I180" s="669">
        <f t="shared" si="40"/>
        <v>3630</v>
      </c>
      <c r="J180" s="669">
        <f t="shared" si="40"/>
        <v>78003</v>
      </c>
      <c r="K180" s="669">
        <f t="shared" si="40"/>
        <v>15640</v>
      </c>
      <c r="L180" s="669">
        <f t="shared" si="40"/>
        <v>2468534</v>
      </c>
    </row>
    <row r="181" spans="1:12" ht="15" hidden="1">
      <c r="A181" s="505" t="s">
        <v>53</v>
      </c>
      <c r="B181" s="428" t="s">
        <v>138</v>
      </c>
      <c r="C181" s="672">
        <f>SUM(D181,K181,L181)</f>
        <v>805406</v>
      </c>
      <c r="D181" s="672">
        <f>SUM(E181:J181)</f>
        <v>231676</v>
      </c>
      <c r="E181" s="648">
        <f>13900+26686+11502+10898</f>
        <v>62986</v>
      </c>
      <c r="F181" s="648"/>
      <c r="G181" s="648">
        <f>34925+7394+23207+3056</f>
        <v>68582</v>
      </c>
      <c r="H181" s="648">
        <f>7200+12410+250+0</f>
        <v>19860</v>
      </c>
      <c r="I181" s="648">
        <f>2400+500+250+0</f>
        <v>3150</v>
      </c>
      <c r="J181" s="648">
        <f>19107+25637+16538+15816</f>
        <v>77098</v>
      </c>
      <c r="K181" s="648">
        <v>12711</v>
      </c>
      <c r="L181" s="648">
        <f>0+27700+317952+215367</f>
        <v>561019</v>
      </c>
    </row>
    <row r="182" spans="1:12" ht="15" hidden="1">
      <c r="A182" s="505" t="s">
        <v>54</v>
      </c>
      <c r="B182" s="428" t="s">
        <v>139</v>
      </c>
      <c r="C182" s="667">
        <f>SUM(D182,K182,L182)</f>
        <v>124430</v>
      </c>
      <c r="D182" s="667">
        <f>SUM(E182:J182)</f>
        <v>38468</v>
      </c>
      <c r="E182" s="648"/>
      <c r="F182" s="648"/>
      <c r="G182" s="648">
        <f>20500+17968+0</f>
        <v>38468</v>
      </c>
      <c r="H182" s="648"/>
      <c r="I182" s="648"/>
      <c r="J182" s="648"/>
      <c r="K182" s="648"/>
      <c r="L182" s="648">
        <f>85186+776</f>
        <v>85962</v>
      </c>
    </row>
    <row r="183" spans="1:12" ht="15" hidden="1">
      <c r="A183" s="505" t="s">
        <v>140</v>
      </c>
      <c r="B183" s="428" t="s">
        <v>201</v>
      </c>
      <c r="C183" s="667">
        <f>SUM(D183,K183,L183)</f>
        <v>0</v>
      </c>
      <c r="D183" s="667">
        <f>SUM(E183:J183)</f>
        <v>0</v>
      </c>
      <c r="E183" s="648"/>
      <c r="F183" s="648"/>
      <c r="G183" s="648"/>
      <c r="H183" s="648"/>
      <c r="I183" s="648"/>
      <c r="J183" s="648"/>
      <c r="K183" s="648"/>
      <c r="L183" s="648"/>
    </row>
    <row r="184" spans="1:12" ht="17.25" customHeight="1" hidden="1">
      <c r="A184" s="505" t="s">
        <v>142</v>
      </c>
      <c r="B184" s="428" t="s">
        <v>141</v>
      </c>
      <c r="C184" s="672">
        <f>SUM(D184,K184,L184)</f>
        <v>1906070</v>
      </c>
      <c r="D184" s="672">
        <f>SUM(E184:J184)</f>
        <v>81588</v>
      </c>
      <c r="E184" s="648">
        <f>900+13478+8834+39206</f>
        <v>62418</v>
      </c>
      <c r="F184" s="648"/>
      <c r="G184" s="648">
        <f>11785+0+3000+3000</f>
        <v>17785</v>
      </c>
      <c r="H184" s="648">
        <f>0+0+0</f>
        <v>0</v>
      </c>
      <c r="I184" s="648">
        <f>480+0+0</f>
        <v>480</v>
      </c>
      <c r="J184" s="648">
        <f>0+300+155+450</f>
        <v>905</v>
      </c>
      <c r="K184" s="648">
        <v>2929</v>
      </c>
      <c r="L184" s="648">
        <f>102563+360360+362933+995697</f>
        <v>1821553</v>
      </c>
    </row>
    <row r="185" spans="1:12" ht="15" hidden="1">
      <c r="A185" s="505" t="s">
        <v>144</v>
      </c>
      <c r="B185" s="428" t="s">
        <v>143</v>
      </c>
      <c r="C185" s="667">
        <f>D185+K185+L185</f>
        <v>0</v>
      </c>
      <c r="D185" s="667">
        <f>E185+F185+G185+H185+I185+J185</f>
        <v>0</v>
      </c>
      <c r="E185" s="648"/>
      <c r="F185" s="648"/>
      <c r="G185" s="648"/>
      <c r="H185" s="648"/>
      <c r="I185" s="648"/>
      <c r="J185" s="648"/>
      <c r="K185" s="648"/>
      <c r="L185" s="648">
        <v>0</v>
      </c>
    </row>
    <row r="186" spans="1:12" ht="15" customHeight="1" hidden="1">
      <c r="A186" s="505" t="s">
        <v>146</v>
      </c>
      <c r="B186" s="428" t="s">
        <v>145</v>
      </c>
      <c r="C186" s="667">
        <f>SUM(D186,K186,L186)</f>
        <v>0</v>
      </c>
      <c r="D186" s="667">
        <f>SUM(E186:J186)</f>
        <v>0</v>
      </c>
      <c r="E186" s="648"/>
      <c r="F186" s="648"/>
      <c r="G186" s="648"/>
      <c r="H186" s="648"/>
      <c r="I186" s="648"/>
      <c r="J186" s="648"/>
      <c r="K186" s="648"/>
      <c r="L186" s="648"/>
    </row>
    <row r="187" spans="1:12" ht="18.75" customHeight="1" hidden="1">
      <c r="A187" s="505" t="s">
        <v>148</v>
      </c>
      <c r="B187" s="430" t="s">
        <v>147</v>
      </c>
      <c r="C187" s="667">
        <f>SUM(D187,K187,L187)</f>
        <v>0</v>
      </c>
      <c r="D187" s="667">
        <f>SUM(E187:J187)</f>
        <v>0</v>
      </c>
      <c r="E187" s="691"/>
      <c r="F187" s="691"/>
      <c r="G187" s="691"/>
      <c r="H187" s="691"/>
      <c r="I187" s="691"/>
      <c r="J187" s="691"/>
      <c r="K187" s="691"/>
      <c r="L187" s="691"/>
    </row>
    <row r="188" spans="1:12" ht="23.25" customHeight="1" hidden="1">
      <c r="A188" s="505" t="s">
        <v>185</v>
      </c>
      <c r="B188" s="430" t="s">
        <v>147</v>
      </c>
      <c r="C188" s="667">
        <f>SUM(D188,K188,L188)</f>
        <v>0</v>
      </c>
      <c r="D188" s="667">
        <f>SUM(E188:J188)</f>
        <v>0</v>
      </c>
      <c r="E188" s="691"/>
      <c r="F188" s="691"/>
      <c r="G188" s="691"/>
      <c r="H188" s="691"/>
      <c r="I188" s="691"/>
      <c r="J188" s="691"/>
      <c r="K188" s="691"/>
      <c r="L188" s="691"/>
    </row>
    <row r="189" spans="1:12" ht="15" hidden="1">
      <c r="A189" s="506" t="s">
        <v>52</v>
      </c>
      <c r="B189" s="394" t="s">
        <v>150</v>
      </c>
      <c r="C189" s="669">
        <f>C174-C177-C180</f>
        <v>2906858</v>
      </c>
      <c r="D189" s="669">
        <f>SUM(E189:J189)</f>
        <v>642744</v>
      </c>
      <c r="E189" s="669">
        <f>E179-E180</f>
        <v>84121</v>
      </c>
      <c r="F189" s="669">
        <f aca="true" t="shared" si="41" ref="F189:K189">F179-F180</f>
        <v>0</v>
      </c>
      <c r="G189" s="669">
        <f t="shared" si="41"/>
        <v>284641</v>
      </c>
      <c r="H189" s="669">
        <f t="shared" si="41"/>
        <v>42128</v>
      </c>
      <c r="I189" s="669">
        <f t="shared" si="41"/>
        <v>231854</v>
      </c>
      <c r="J189" s="669">
        <f t="shared" si="41"/>
        <v>0</v>
      </c>
      <c r="K189" s="669">
        <f t="shared" si="41"/>
        <v>207887</v>
      </c>
      <c r="L189" s="669">
        <f>L179-L180</f>
        <v>2056227</v>
      </c>
    </row>
    <row r="190" spans="1:12" ht="25.5" hidden="1">
      <c r="A190" s="532" t="s">
        <v>538</v>
      </c>
      <c r="B190" s="486" t="s">
        <v>213</v>
      </c>
      <c r="C190" s="530">
        <f>(C181+C182+C183)/C180</f>
        <v>0.32787969699983005</v>
      </c>
      <c r="D190" s="530">
        <f aca="true" t="shared" si="42" ref="D190:L190">(D181+D182+D183)/D180</f>
        <v>0.7680393026508819</v>
      </c>
      <c r="E190" s="531">
        <f t="shared" si="42"/>
        <v>0.5022646805524544</v>
      </c>
      <c r="F190" s="531" t="e">
        <f t="shared" si="42"/>
        <v>#DIV/0!</v>
      </c>
      <c r="G190" s="531">
        <f t="shared" si="42"/>
        <v>0.857531942163656</v>
      </c>
      <c r="H190" s="531">
        <f t="shared" si="42"/>
        <v>1</v>
      </c>
      <c r="I190" s="531">
        <f t="shared" si="42"/>
        <v>0.8677685950413223</v>
      </c>
      <c r="J190" s="531">
        <f t="shared" si="42"/>
        <v>0.9883978821327385</v>
      </c>
      <c r="K190" s="531">
        <f t="shared" si="42"/>
        <v>0.8127237851662404</v>
      </c>
      <c r="L190" s="531">
        <f t="shared" si="42"/>
        <v>0.2620911844843944</v>
      </c>
    </row>
    <row r="191" ht="15" hidden="1"/>
    <row r="192" ht="15" hidden="1"/>
    <row r="193" ht="15" hidden="1">
      <c r="B193" s="680" t="s">
        <v>709</v>
      </c>
    </row>
    <row r="194" spans="1:12" ht="15" hidden="1">
      <c r="A194" s="957" t="s">
        <v>70</v>
      </c>
      <c r="B194" s="958"/>
      <c r="C194" s="1329" t="s">
        <v>37</v>
      </c>
      <c r="D194" s="1349" t="s">
        <v>337</v>
      </c>
      <c r="E194" s="1349"/>
      <c r="F194" s="1349"/>
      <c r="G194" s="1349"/>
      <c r="H194" s="1349"/>
      <c r="I194" s="1349"/>
      <c r="J194" s="1349"/>
      <c r="K194" s="1349"/>
      <c r="L194" s="1349"/>
    </row>
    <row r="195" spans="1:12" ht="15" hidden="1">
      <c r="A195" s="959"/>
      <c r="B195" s="960"/>
      <c r="C195" s="1329"/>
      <c r="D195" s="1350" t="s">
        <v>205</v>
      </c>
      <c r="E195" s="1351"/>
      <c r="F195" s="1351"/>
      <c r="G195" s="1351"/>
      <c r="H195" s="1351"/>
      <c r="I195" s="1351"/>
      <c r="J195" s="1352"/>
      <c r="K195" s="1353" t="s">
        <v>206</v>
      </c>
      <c r="L195" s="1353" t="s">
        <v>207</v>
      </c>
    </row>
    <row r="196" spans="1:12" ht="15" hidden="1">
      <c r="A196" s="959"/>
      <c r="B196" s="960"/>
      <c r="C196" s="1329"/>
      <c r="D196" s="1330" t="s">
        <v>36</v>
      </c>
      <c r="E196" s="1344" t="s">
        <v>7</v>
      </c>
      <c r="F196" s="1345"/>
      <c r="G196" s="1345"/>
      <c r="H196" s="1345"/>
      <c r="I196" s="1345"/>
      <c r="J196" s="1346"/>
      <c r="K196" s="1354"/>
      <c r="L196" s="1356"/>
    </row>
    <row r="197" spans="1:12" ht="15" hidden="1">
      <c r="A197" s="1333"/>
      <c r="B197" s="1334"/>
      <c r="C197" s="1329"/>
      <c r="D197" s="1330"/>
      <c r="E197" s="549" t="s">
        <v>208</v>
      </c>
      <c r="F197" s="549" t="s">
        <v>209</v>
      </c>
      <c r="G197" s="549" t="s">
        <v>210</v>
      </c>
      <c r="H197" s="549" t="s">
        <v>211</v>
      </c>
      <c r="I197" s="549" t="s">
        <v>344</v>
      </c>
      <c r="J197" s="549" t="s">
        <v>212</v>
      </c>
      <c r="K197" s="1355"/>
      <c r="L197" s="1357"/>
    </row>
    <row r="198" spans="1:12" ht="15" hidden="1">
      <c r="A198" s="1331" t="s">
        <v>6</v>
      </c>
      <c r="B198" s="1332"/>
      <c r="C198" s="479">
        <v>1</v>
      </c>
      <c r="D198" s="480">
        <v>2</v>
      </c>
      <c r="E198" s="479">
        <v>3</v>
      </c>
      <c r="F198" s="480">
        <v>4</v>
      </c>
      <c r="G198" s="479">
        <v>5</v>
      </c>
      <c r="H198" s="480">
        <v>6</v>
      </c>
      <c r="I198" s="479">
        <v>7</v>
      </c>
      <c r="J198" s="480">
        <v>8</v>
      </c>
      <c r="K198" s="479">
        <v>9</v>
      </c>
      <c r="L198" s="480">
        <v>10</v>
      </c>
    </row>
    <row r="199" spans="1:12" ht="15" hidden="1">
      <c r="A199" s="504" t="s">
        <v>0</v>
      </c>
      <c r="B199" s="426" t="s">
        <v>130</v>
      </c>
      <c r="C199" s="668">
        <f>D199+K199+L199</f>
        <v>1323589</v>
      </c>
      <c r="D199" s="668">
        <f>E199+F199+G199+H199+I199+J199</f>
        <v>128669</v>
      </c>
      <c r="E199" s="668">
        <f aca="true" t="shared" si="43" ref="E199:L199">E200+E201</f>
        <v>38072</v>
      </c>
      <c r="F199" s="668">
        <f t="shared" si="43"/>
        <v>0</v>
      </c>
      <c r="G199" s="668">
        <f t="shared" si="43"/>
        <v>49910</v>
      </c>
      <c r="H199" s="668">
        <f t="shared" si="43"/>
        <v>14066</v>
      </c>
      <c r="I199" s="668">
        <f t="shared" si="43"/>
        <v>26421</v>
      </c>
      <c r="J199" s="668">
        <f t="shared" si="43"/>
        <v>200</v>
      </c>
      <c r="K199" s="668">
        <f t="shared" si="43"/>
        <v>0</v>
      </c>
      <c r="L199" s="668">
        <f t="shared" si="43"/>
        <v>1194920</v>
      </c>
    </row>
    <row r="200" spans="1:19" ht="15.75" hidden="1">
      <c r="A200" s="505">
        <v>1</v>
      </c>
      <c r="B200" s="428" t="s">
        <v>131</v>
      </c>
      <c r="C200" s="667">
        <f>SUM(D200,K200,L200)</f>
        <v>1051654</v>
      </c>
      <c r="D200" s="667">
        <f>SUM(E200:J200)</f>
        <v>93734</v>
      </c>
      <c r="E200" s="753">
        <v>27682</v>
      </c>
      <c r="F200" s="753"/>
      <c r="G200" s="753">
        <v>40558</v>
      </c>
      <c r="H200" s="753">
        <v>250</v>
      </c>
      <c r="I200" s="753">
        <v>25044</v>
      </c>
      <c r="J200" s="753">
        <v>200</v>
      </c>
      <c r="K200" s="753"/>
      <c r="L200" s="753">
        <v>957920</v>
      </c>
      <c r="M200" s="405">
        <f>'[11]03'!C202+'[11]04'!C202</f>
        <v>0</v>
      </c>
      <c r="N200" s="405">
        <f>C200-M200</f>
        <v>1051654</v>
      </c>
      <c r="O200" s="405">
        <f>'[11]07'!D201</f>
        <v>0</v>
      </c>
      <c r="P200" s="405">
        <f>C200-O200</f>
        <v>1051654</v>
      </c>
      <c r="Q200" s="400"/>
      <c r="R200" s="427"/>
      <c r="S200" s="485"/>
    </row>
    <row r="201" spans="1:19" ht="15.75" hidden="1">
      <c r="A201" s="505">
        <v>2</v>
      </c>
      <c r="B201" s="428" t="s">
        <v>132</v>
      </c>
      <c r="C201" s="667">
        <f>SUM(D201,K201,L201)</f>
        <v>271935</v>
      </c>
      <c r="D201" s="667">
        <f>SUM(E201:J201)</f>
        <v>34935</v>
      </c>
      <c r="E201" s="642">
        <v>10390</v>
      </c>
      <c r="F201" s="642">
        <v>0</v>
      </c>
      <c r="G201" s="642">
        <v>9352</v>
      </c>
      <c r="H201" s="642">
        <v>13816</v>
      </c>
      <c r="I201" s="642">
        <v>1377</v>
      </c>
      <c r="J201" s="642">
        <v>0</v>
      </c>
      <c r="K201" s="642"/>
      <c r="L201" s="642">
        <v>237000</v>
      </c>
      <c r="M201" s="405">
        <f>'[11]03'!C203+'[11]04'!C203</f>
        <v>0</v>
      </c>
      <c r="N201" s="405">
        <f>C201-M201</f>
        <v>271935</v>
      </c>
      <c r="O201" s="405">
        <f>'[11]07'!E201</f>
        <v>0</v>
      </c>
      <c r="P201" s="405">
        <f>C201-O201</f>
        <v>271935</v>
      </c>
      <c r="Q201" s="400"/>
      <c r="R201" s="427"/>
      <c r="S201" s="485"/>
    </row>
    <row r="202" spans="1:19" ht="18" customHeight="1" hidden="1">
      <c r="A202" s="506" t="s">
        <v>1</v>
      </c>
      <c r="B202" s="394" t="s">
        <v>133</v>
      </c>
      <c r="C202" s="667">
        <f>SUM(D202,K202,L202)</f>
        <v>0</v>
      </c>
      <c r="D202" s="667">
        <f>SUM(E202:J202)</f>
        <v>0</v>
      </c>
      <c r="E202" s="754"/>
      <c r="F202" s="754"/>
      <c r="G202" s="754"/>
      <c r="H202" s="754"/>
      <c r="I202" s="754"/>
      <c r="J202" s="754"/>
      <c r="K202" s="754">
        <v>0</v>
      </c>
      <c r="L202" s="754"/>
      <c r="M202" s="405">
        <f>'[11]03'!C204+'[11]04'!C204</f>
        <v>0</v>
      </c>
      <c r="N202" s="405">
        <f>C202-M202</f>
        <v>0</v>
      </c>
      <c r="O202" s="405">
        <f>'[11]07'!F201</f>
        <v>0</v>
      </c>
      <c r="P202" s="405">
        <f>C202-O202</f>
        <v>0</v>
      </c>
      <c r="Q202" s="390"/>
      <c r="R202" s="427"/>
      <c r="S202" s="485"/>
    </row>
    <row r="203" spans="1:12" ht="19.5" customHeight="1" hidden="1">
      <c r="A203" s="506" t="s">
        <v>9</v>
      </c>
      <c r="B203" s="394" t="s">
        <v>134</v>
      </c>
      <c r="C203" s="667">
        <f>SUM(D203,K203,L203)</f>
        <v>0</v>
      </c>
      <c r="D203" s="667">
        <f>SUM(E203:J203)</f>
        <v>0</v>
      </c>
      <c r="E203" s="650"/>
      <c r="F203" s="650"/>
      <c r="G203" s="650"/>
      <c r="H203" s="650"/>
      <c r="I203" s="650"/>
      <c r="J203" s="650"/>
      <c r="K203" s="650"/>
      <c r="L203" s="650"/>
    </row>
    <row r="204" spans="1:12" ht="18" customHeight="1" hidden="1">
      <c r="A204" s="506" t="s">
        <v>135</v>
      </c>
      <c r="B204" s="394" t="s">
        <v>136</v>
      </c>
      <c r="C204" s="669">
        <f>SUM(D204,K204,L204)</f>
        <v>1323589</v>
      </c>
      <c r="D204" s="669">
        <f>SUM(E204:J204)</f>
        <v>128669</v>
      </c>
      <c r="E204" s="670">
        <f aca="true" t="shared" si="44" ref="E204:L204">E199-SUM(E202,E203)</f>
        <v>38072</v>
      </c>
      <c r="F204" s="670">
        <f t="shared" si="44"/>
        <v>0</v>
      </c>
      <c r="G204" s="670">
        <f t="shared" si="44"/>
        <v>49910</v>
      </c>
      <c r="H204" s="671">
        <f t="shared" si="44"/>
        <v>14066</v>
      </c>
      <c r="I204" s="670">
        <f t="shared" si="44"/>
        <v>26421</v>
      </c>
      <c r="J204" s="670">
        <f t="shared" si="44"/>
        <v>200</v>
      </c>
      <c r="K204" s="670">
        <f t="shared" si="44"/>
        <v>0</v>
      </c>
      <c r="L204" s="670">
        <f t="shared" si="44"/>
        <v>1194920</v>
      </c>
    </row>
    <row r="205" spans="1:12" ht="18" customHeight="1" hidden="1">
      <c r="A205" s="506" t="s">
        <v>51</v>
      </c>
      <c r="B205" s="429" t="s">
        <v>137</v>
      </c>
      <c r="C205" s="669">
        <f>C206+C207+C208+C209+C210+C211+C212+C213</f>
        <v>408641</v>
      </c>
      <c r="D205" s="669">
        <f aca="true" t="shared" si="45" ref="D205:L205">D206+D207+D208+D209+D210+D211+D212+D213</f>
        <v>54485</v>
      </c>
      <c r="E205" s="669">
        <f t="shared" si="45"/>
        <v>11890</v>
      </c>
      <c r="F205" s="669">
        <f t="shared" si="45"/>
        <v>0</v>
      </c>
      <c r="G205" s="669">
        <f t="shared" si="45"/>
        <v>24352</v>
      </c>
      <c r="H205" s="669">
        <f t="shared" si="45"/>
        <v>13716</v>
      </c>
      <c r="I205" s="669">
        <f t="shared" si="45"/>
        <v>4527</v>
      </c>
      <c r="J205" s="669">
        <f t="shared" si="45"/>
        <v>0</v>
      </c>
      <c r="K205" s="669">
        <f t="shared" si="45"/>
        <v>0</v>
      </c>
      <c r="L205" s="669">
        <f t="shared" si="45"/>
        <v>354156</v>
      </c>
    </row>
    <row r="206" spans="1:12" ht="15.75" hidden="1">
      <c r="A206" s="505" t="s">
        <v>53</v>
      </c>
      <c r="B206" s="428" t="s">
        <v>138</v>
      </c>
      <c r="C206" s="672">
        <f>SUM(D206,K206,L206)</f>
        <v>77321</v>
      </c>
      <c r="D206" s="672">
        <f>SUM(E206:J206)</f>
        <v>47621</v>
      </c>
      <c r="E206" s="642">
        <v>9346</v>
      </c>
      <c r="F206" s="642">
        <v>0</v>
      </c>
      <c r="G206" s="642">
        <v>21352</v>
      </c>
      <c r="H206" s="642">
        <v>13716</v>
      </c>
      <c r="I206" s="642">
        <v>3207</v>
      </c>
      <c r="J206" s="642">
        <v>0</v>
      </c>
      <c r="K206" s="642"/>
      <c r="L206" s="642">
        <v>29700</v>
      </c>
    </row>
    <row r="207" spans="1:12" ht="15.75" hidden="1">
      <c r="A207" s="505" t="s">
        <v>54</v>
      </c>
      <c r="B207" s="428" t="s">
        <v>139</v>
      </c>
      <c r="C207" s="667">
        <f>SUM(D207,K207,L207)</f>
        <v>0</v>
      </c>
      <c r="D207" s="667">
        <f>SUM(E207:J207)</f>
        <v>0</v>
      </c>
      <c r="E207" s="642">
        <v>0</v>
      </c>
      <c r="F207" s="642"/>
      <c r="G207" s="642">
        <v>0</v>
      </c>
      <c r="H207" s="642"/>
      <c r="I207" s="642">
        <v>0</v>
      </c>
      <c r="J207" s="642"/>
      <c r="K207" s="642"/>
      <c r="L207" s="642">
        <v>0</v>
      </c>
    </row>
    <row r="208" spans="1:12" ht="15.75" hidden="1">
      <c r="A208" s="505" t="s">
        <v>140</v>
      </c>
      <c r="B208" s="428" t="s">
        <v>201</v>
      </c>
      <c r="C208" s="667">
        <f>SUM(D208,K208,L208)</f>
        <v>0</v>
      </c>
      <c r="D208" s="667">
        <f>SUM(E208:J208)</f>
        <v>0</v>
      </c>
      <c r="E208" s="642"/>
      <c r="F208" s="642"/>
      <c r="G208" s="642">
        <v>0</v>
      </c>
      <c r="H208" s="642"/>
      <c r="I208" s="642">
        <v>0</v>
      </c>
      <c r="J208" s="642"/>
      <c r="K208" s="642"/>
      <c r="L208" s="642"/>
    </row>
    <row r="209" spans="1:12" ht="15.75" hidden="1">
      <c r="A209" s="505" t="s">
        <v>142</v>
      </c>
      <c r="B209" s="428" t="s">
        <v>141</v>
      </c>
      <c r="C209" s="672">
        <f>SUM(D209,K209,L209)</f>
        <v>331320</v>
      </c>
      <c r="D209" s="672">
        <f>SUM(E209:J209)</f>
        <v>6864</v>
      </c>
      <c r="E209" s="642">
        <v>2544</v>
      </c>
      <c r="F209" s="642"/>
      <c r="G209" s="642">
        <v>3000</v>
      </c>
      <c r="H209" s="642">
        <v>0</v>
      </c>
      <c r="I209" s="642">
        <v>1320</v>
      </c>
      <c r="J209" s="642">
        <v>0</v>
      </c>
      <c r="K209" s="642"/>
      <c r="L209" s="642">
        <v>324456</v>
      </c>
    </row>
    <row r="210" spans="1:12" ht="15.75" hidden="1">
      <c r="A210" s="505" t="s">
        <v>144</v>
      </c>
      <c r="B210" s="428" t="s">
        <v>143</v>
      </c>
      <c r="C210" s="667">
        <f>D210+K210+L210</f>
        <v>0</v>
      </c>
      <c r="D210" s="667">
        <f>E210+F210+G210+H210+I210+J210</f>
        <v>0</v>
      </c>
      <c r="E210" s="642"/>
      <c r="F210" s="642"/>
      <c r="G210" s="642"/>
      <c r="H210" s="642"/>
      <c r="I210" s="642"/>
      <c r="J210" s="642"/>
      <c r="K210" s="642"/>
      <c r="L210" s="642"/>
    </row>
    <row r="211" spans="1:12" ht="15.75" hidden="1">
      <c r="A211" s="505" t="s">
        <v>146</v>
      </c>
      <c r="B211" s="428" t="s">
        <v>145</v>
      </c>
      <c r="C211" s="667">
        <f>SUM(D211,K211,L211)</f>
        <v>0</v>
      </c>
      <c r="D211" s="667">
        <f>SUM(E211:J211)</f>
        <v>0</v>
      </c>
      <c r="E211" s="642"/>
      <c r="F211" s="642"/>
      <c r="G211" s="642"/>
      <c r="H211" s="642"/>
      <c r="I211" s="642"/>
      <c r="J211" s="642"/>
      <c r="K211" s="642"/>
      <c r="L211" s="642"/>
    </row>
    <row r="212" spans="1:12" ht="25.5" hidden="1">
      <c r="A212" s="505" t="s">
        <v>148</v>
      </c>
      <c r="B212" s="430" t="s">
        <v>147</v>
      </c>
      <c r="C212" s="667">
        <f>SUM(D212,K212,L212)</f>
        <v>0</v>
      </c>
      <c r="D212" s="667">
        <f>SUM(E212:J212)</f>
        <v>0</v>
      </c>
      <c r="E212" s="642"/>
      <c r="F212" s="642"/>
      <c r="G212" s="642"/>
      <c r="H212" s="642"/>
      <c r="I212" s="642"/>
      <c r="J212" s="642"/>
      <c r="K212" s="642"/>
      <c r="L212" s="642"/>
    </row>
    <row r="213" spans="1:12" ht="0.75" customHeight="1" hidden="1">
      <c r="A213" s="505" t="s">
        <v>185</v>
      </c>
      <c r="B213" s="428" t="s">
        <v>149</v>
      </c>
      <c r="C213" s="667">
        <f>SUM(D213,K213,L213)</f>
        <v>0</v>
      </c>
      <c r="D213" s="667">
        <f>SUM(E213:J213)</f>
        <v>0</v>
      </c>
      <c r="E213" s="754"/>
      <c r="F213" s="754"/>
      <c r="G213" s="754"/>
      <c r="H213" s="754"/>
      <c r="I213" s="754"/>
      <c r="J213" s="754"/>
      <c r="K213" s="754"/>
      <c r="L213" s="754"/>
    </row>
    <row r="214" spans="1:12" ht="15" hidden="1">
      <c r="A214" s="506" t="s">
        <v>52</v>
      </c>
      <c r="B214" s="394" t="s">
        <v>150</v>
      </c>
      <c r="C214" s="669">
        <f>C199-C202-C205</f>
        <v>914948</v>
      </c>
      <c r="D214" s="669">
        <f>SUM(E214:J214)</f>
        <v>74184</v>
      </c>
      <c r="E214" s="669">
        <f>E204-E205</f>
        <v>26182</v>
      </c>
      <c r="F214" s="669">
        <f aca="true" t="shared" si="46" ref="F214:K214">F204-F205</f>
        <v>0</v>
      </c>
      <c r="G214" s="669">
        <f t="shared" si="46"/>
        <v>25558</v>
      </c>
      <c r="H214" s="669">
        <f t="shared" si="46"/>
        <v>350</v>
      </c>
      <c r="I214" s="669">
        <f t="shared" si="46"/>
        <v>21894</v>
      </c>
      <c r="J214" s="669">
        <f t="shared" si="46"/>
        <v>200</v>
      </c>
      <c r="K214" s="669">
        <f t="shared" si="46"/>
        <v>0</v>
      </c>
      <c r="L214" s="669">
        <f>L204-L205</f>
        <v>840764</v>
      </c>
    </row>
    <row r="215" spans="1:12" ht="25.5" hidden="1">
      <c r="A215" s="532" t="s">
        <v>538</v>
      </c>
      <c r="B215" s="486" t="s">
        <v>213</v>
      </c>
      <c r="C215" s="530">
        <f>(C206+C207+C208)/C205</f>
        <v>0.18921498332276987</v>
      </c>
      <c r="D215" s="530">
        <f aca="true" t="shared" si="47" ref="D215:L215">(D206+D207+D208)/D205</f>
        <v>0.8740203725796091</v>
      </c>
      <c r="E215" s="531">
        <f t="shared" si="47"/>
        <v>0.7860386879730866</v>
      </c>
      <c r="F215" s="531" t="e">
        <f t="shared" si="47"/>
        <v>#DIV/0!</v>
      </c>
      <c r="G215" s="531">
        <f t="shared" si="47"/>
        <v>0.8768068331143233</v>
      </c>
      <c r="H215" s="531">
        <f t="shared" si="47"/>
        <v>1</v>
      </c>
      <c r="I215" s="531">
        <f t="shared" si="47"/>
        <v>0.7084161696487741</v>
      </c>
      <c r="J215" s="531" t="e">
        <f t="shared" si="47"/>
        <v>#DIV/0!</v>
      </c>
      <c r="K215" s="531" t="e">
        <f t="shared" si="47"/>
        <v>#DIV/0!</v>
      </c>
      <c r="L215" s="531">
        <f t="shared" si="47"/>
        <v>0.08386134923592993</v>
      </c>
    </row>
    <row r="216" ht="15" hidden="1"/>
    <row r="217" ht="15" hidden="1"/>
    <row r="218" ht="15" hidden="1">
      <c r="B218" s="475" t="s">
        <v>695</v>
      </c>
    </row>
    <row r="219" spans="1:12" ht="15" hidden="1">
      <c r="A219" s="957" t="s">
        <v>70</v>
      </c>
      <c r="B219" s="958"/>
      <c r="C219" s="1329" t="s">
        <v>37</v>
      </c>
      <c r="D219" s="1349" t="s">
        <v>337</v>
      </c>
      <c r="E219" s="1349"/>
      <c r="F219" s="1349"/>
      <c r="G219" s="1349"/>
      <c r="H219" s="1349"/>
      <c r="I219" s="1349"/>
      <c r="J219" s="1349"/>
      <c r="K219" s="1349"/>
      <c r="L219" s="1349"/>
    </row>
    <row r="220" spans="1:12" ht="15" hidden="1">
      <c r="A220" s="959"/>
      <c r="B220" s="960"/>
      <c r="C220" s="1329"/>
      <c r="D220" s="1350" t="s">
        <v>205</v>
      </c>
      <c r="E220" s="1351"/>
      <c r="F220" s="1351"/>
      <c r="G220" s="1351"/>
      <c r="H220" s="1351"/>
      <c r="I220" s="1351"/>
      <c r="J220" s="1352"/>
      <c r="K220" s="1353" t="s">
        <v>206</v>
      </c>
      <c r="L220" s="1353" t="s">
        <v>207</v>
      </c>
    </row>
    <row r="221" spans="1:12" ht="15" hidden="1">
      <c r="A221" s="959"/>
      <c r="B221" s="960"/>
      <c r="C221" s="1329"/>
      <c r="D221" s="1330" t="s">
        <v>36</v>
      </c>
      <c r="E221" s="1344" t="s">
        <v>7</v>
      </c>
      <c r="F221" s="1345"/>
      <c r="G221" s="1345"/>
      <c r="H221" s="1345"/>
      <c r="I221" s="1345"/>
      <c r="J221" s="1346"/>
      <c r="K221" s="1354"/>
      <c r="L221" s="1356"/>
    </row>
    <row r="222" spans="1:12" ht="15" hidden="1">
      <c r="A222" s="1333"/>
      <c r="B222" s="1334"/>
      <c r="C222" s="1329"/>
      <c r="D222" s="1330"/>
      <c r="E222" s="549" t="s">
        <v>208</v>
      </c>
      <c r="F222" s="549" t="s">
        <v>209</v>
      </c>
      <c r="G222" s="549" t="s">
        <v>210</v>
      </c>
      <c r="H222" s="549" t="s">
        <v>211</v>
      </c>
      <c r="I222" s="549" t="s">
        <v>344</v>
      </c>
      <c r="J222" s="549" t="s">
        <v>212</v>
      </c>
      <c r="K222" s="1355"/>
      <c r="L222" s="1357"/>
    </row>
    <row r="223" spans="1:12" ht="15" hidden="1">
      <c r="A223" s="1331" t="s">
        <v>6</v>
      </c>
      <c r="B223" s="1332"/>
      <c r="C223" s="479">
        <v>1</v>
      </c>
      <c r="D223" s="480">
        <v>2</v>
      </c>
      <c r="E223" s="479">
        <v>3</v>
      </c>
      <c r="F223" s="480">
        <v>4</v>
      </c>
      <c r="G223" s="479">
        <v>5</v>
      </c>
      <c r="H223" s="480">
        <v>6</v>
      </c>
      <c r="I223" s="479">
        <v>7</v>
      </c>
      <c r="J223" s="480">
        <v>8</v>
      </c>
      <c r="K223" s="479">
        <v>9</v>
      </c>
      <c r="L223" s="480">
        <v>10</v>
      </c>
    </row>
    <row r="224" spans="1:12" ht="15" hidden="1">
      <c r="A224" s="504" t="s">
        <v>0</v>
      </c>
      <c r="B224" s="426" t="s">
        <v>130</v>
      </c>
      <c r="C224" s="668">
        <f>D224+K224+L224</f>
        <v>2376517</v>
      </c>
      <c r="D224" s="668">
        <f>E224+F224+G224+H224+I224+J224</f>
        <v>277233</v>
      </c>
      <c r="E224" s="668">
        <f aca="true" t="shared" si="48" ref="E224:L224">E225+E226</f>
        <v>72115</v>
      </c>
      <c r="F224" s="668">
        <f t="shared" si="48"/>
        <v>0</v>
      </c>
      <c r="G224" s="668">
        <f t="shared" si="48"/>
        <v>6500</v>
      </c>
      <c r="H224" s="668">
        <f t="shared" si="48"/>
        <v>7488</v>
      </c>
      <c r="I224" s="668">
        <f t="shared" si="48"/>
        <v>12770</v>
      </c>
      <c r="J224" s="668">
        <f t="shared" si="48"/>
        <v>178360</v>
      </c>
      <c r="K224" s="668">
        <f t="shared" si="48"/>
        <v>0</v>
      </c>
      <c r="L224" s="668">
        <f t="shared" si="48"/>
        <v>2099284</v>
      </c>
    </row>
    <row r="225" spans="1:12" ht="16.5" customHeight="1" hidden="1">
      <c r="A225" s="505">
        <v>1</v>
      </c>
      <c r="B225" s="428" t="s">
        <v>131</v>
      </c>
      <c r="C225" s="667">
        <f>SUM(D225,K225,L225)</f>
        <v>1844360</v>
      </c>
      <c r="D225" s="667">
        <f>SUM(E225:J225)</f>
        <v>69427</v>
      </c>
      <c r="E225" s="758">
        <v>57877</v>
      </c>
      <c r="F225" s="758">
        <v>0</v>
      </c>
      <c r="G225" s="758"/>
      <c r="H225" s="758">
        <v>0</v>
      </c>
      <c r="I225" s="758">
        <v>11550</v>
      </c>
      <c r="J225" s="758"/>
      <c r="K225" s="756">
        <v>0</v>
      </c>
      <c r="L225" s="756">
        <v>1774933</v>
      </c>
    </row>
    <row r="226" spans="1:12" ht="19.5" customHeight="1" hidden="1">
      <c r="A226" s="505">
        <v>2</v>
      </c>
      <c r="B226" s="428" t="s">
        <v>132</v>
      </c>
      <c r="C226" s="667">
        <f>SUM(D226,K226,L226)</f>
        <v>532157</v>
      </c>
      <c r="D226" s="667">
        <f>SUM(E226:J226)</f>
        <v>207806</v>
      </c>
      <c r="E226" s="759">
        <v>14238</v>
      </c>
      <c r="F226" s="757"/>
      <c r="G226" s="757">
        <v>6500</v>
      </c>
      <c r="H226" s="757">
        <v>7488</v>
      </c>
      <c r="I226" s="759">
        <v>1220</v>
      </c>
      <c r="J226" s="759">
        <v>178360</v>
      </c>
      <c r="K226" s="757">
        <v>0</v>
      </c>
      <c r="L226" s="760">
        <v>324351</v>
      </c>
    </row>
    <row r="227" spans="1:12" ht="18.75" customHeight="1" hidden="1">
      <c r="A227" s="506" t="s">
        <v>1</v>
      </c>
      <c r="B227" s="394" t="s">
        <v>133</v>
      </c>
      <c r="C227" s="667">
        <f>SUM(D227,K227,L227)</f>
        <v>0</v>
      </c>
      <c r="D227" s="667">
        <f>SUM(E227:J227)</f>
        <v>0</v>
      </c>
      <c r="E227" s="757"/>
      <c r="F227" s="757"/>
      <c r="G227" s="757"/>
      <c r="H227" s="757"/>
      <c r="I227" s="757"/>
      <c r="J227" s="757"/>
      <c r="K227" s="757"/>
      <c r="L227" s="757"/>
    </row>
    <row r="228" spans="1:12" ht="21.75" customHeight="1" hidden="1">
      <c r="A228" s="506" t="s">
        <v>9</v>
      </c>
      <c r="B228" s="394" t="s">
        <v>134</v>
      </c>
      <c r="C228" s="667">
        <f>SUM(D228,K228,L228)</f>
        <v>0</v>
      </c>
      <c r="D228" s="667">
        <f>SUM(E228:J228)</f>
        <v>0</v>
      </c>
      <c r="E228" s="757">
        <v>0</v>
      </c>
      <c r="F228" s="757">
        <v>0</v>
      </c>
      <c r="G228" s="757">
        <v>0</v>
      </c>
      <c r="H228" s="757">
        <v>0</v>
      </c>
      <c r="I228" s="757"/>
      <c r="J228" s="757"/>
      <c r="K228" s="757"/>
      <c r="L228" s="757"/>
    </row>
    <row r="229" spans="1:12" ht="18.75" customHeight="1" hidden="1">
      <c r="A229" s="506" t="s">
        <v>135</v>
      </c>
      <c r="B229" s="394" t="s">
        <v>136</v>
      </c>
      <c r="C229" s="669">
        <f>SUM(D229,K229,L229)</f>
        <v>2376517</v>
      </c>
      <c r="D229" s="669">
        <f>SUM(E229:J229)</f>
        <v>277233</v>
      </c>
      <c r="E229" s="670">
        <f aca="true" t="shared" si="49" ref="E229:L229">E224-SUM(E227,E228)</f>
        <v>72115</v>
      </c>
      <c r="F229" s="670">
        <f t="shared" si="49"/>
        <v>0</v>
      </c>
      <c r="G229" s="670">
        <f t="shared" si="49"/>
        <v>6500</v>
      </c>
      <c r="H229" s="671">
        <f t="shared" si="49"/>
        <v>7488</v>
      </c>
      <c r="I229" s="670">
        <f t="shared" si="49"/>
        <v>12770</v>
      </c>
      <c r="J229" s="670">
        <f t="shared" si="49"/>
        <v>178360</v>
      </c>
      <c r="K229" s="670">
        <f t="shared" si="49"/>
        <v>0</v>
      </c>
      <c r="L229" s="670">
        <f t="shared" si="49"/>
        <v>2099284</v>
      </c>
    </row>
    <row r="230" spans="1:12" ht="19.5" customHeight="1" hidden="1">
      <c r="A230" s="506" t="s">
        <v>51</v>
      </c>
      <c r="B230" s="429" t="s">
        <v>137</v>
      </c>
      <c r="C230" s="669">
        <f>C231+C232+C233+C234+C235+C236+C237+C238</f>
        <v>766207</v>
      </c>
      <c r="D230" s="669">
        <f aca="true" t="shared" si="50" ref="D230:L230">D231+D232+D233+D234+D235+D236+D237+D238</f>
        <v>210756</v>
      </c>
      <c r="E230" s="669">
        <f t="shared" si="50"/>
        <v>17188</v>
      </c>
      <c r="F230" s="669">
        <f t="shared" si="50"/>
        <v>0</v>
      </c>
      <c r="G230" s="669">
        <f t="shared" si="50"/>
        <v>6500</v>
      </c>
      <c r="H230" s="669">
        <f t="shared" si="50"/>
        <v>7488</v>
      </c>
      <c r="I230" s="669">
        <f t="shared" si="50"/>
        <v>1220</v>
      </c>
      <c r="J230" s="669">
        <f t="shared" si="50"/>
        <v>178360</v>
      </c>
      <c r="K230" s="669">
        <f t="shared" si="50"/>
        <v>0</v>
      </c>
      <c r="L230" s="669">
        <f t="shared" si="50"/>
        <v>555451</v>
      </c>
    </row>
    <row r="231" spans="1:12" ht="15.75" hidden="1">
      <c r="A231" s="505" t="s">
        <v>53</v>
      </c>
      <c r="B231" s="428" t="s">
        <v>138</v>
      </c>
      <c r="C231" s="672">
        <f>SUM(D231,K231,L231)</f>
        <v>154454</v>
      </c>
      <c r="D231" s="672">
        <f>SUM(E231:J231)</f>
        <v>54684</v>
      </c>
      <c r="E231" s="761">
        <v>5713</v>
      </c>
      <c r="F231" s="762"/>
      <c r="G231" s="762">
        <v>4500</v>
      </c>
      <c r="H231" s="762">
        <v>7488</v>
      </c>
      <c r="I231" s="761">
        <v>1220</v>
      </c>
      <c r="J231" s="827">
        <v>35763</v>
      </c>
      <c r="K231" s="762">
        <v>0</v>
      </c>
      <c r="L231" s="763">
        <v>99770</v>
      </c>
    </row>
    <row r="232" spans="1:12" ht="15.75" hidden="1">
      <c r="A232" s="505" t="s">
        <v>54</v>
      </c>
      <c r="B232" s="428" t="s">
        <v>139</v>
      </c>
      <c r="C232" s="667">
        <f>SUM(D232,K232,L232)</f>
        <v>0</v>
      </c>
      <c r="D232" s="667">
        <f>SUM(E232:J232)</f>
        <v>0</v>
      </c>
      <c r="E232" s="762">
        <v>0</v>
      </c>
      <c r="F232" s="762">
        <v>0</v>
      </c>
      <c r="G232" s="762">
        <v>0</v>
      </c>
      <c r="H232" s="762">
        <v>0</v>
      </c>
      <c r="I232" s="762">
        <v>0</v>
      </c>
      <c r="J232" s="828">
        <v>0</v>
      </c>
      <c r="K232" s="762">
        <v>0</v>
      </c>
      <c r="L232" s="763">
        <v>0</v>
      </c>
    </row>
    <row r="233" spans="1:12" ht="15.75" hidden="1">
      <c r="A233" s="505" t="s">
        <v>140</v>
      </c>
      <c r="B233" s="428" t="s">
        <v>201</v>
      </c>
      <c r="C233" s="667">
        <f>SUM(D233,K233,L233)</f>
        <v>0</v>
      </c>
      <c r="D233" s="667">
        <f>SUM(E233:J233)</f>
        <v>0</v>
      </c>
      <c r="E233" s="762">
        <v>0</v>
      </c>
      <c r="F233" s="762">
        <v>0</v>
      </c>
      <c r="G233" s="762">
        <v>0</v>
      </c>
      <c r="H233" s="762">
        <v>0</v>
      </c>
      <c r="I233" s="762">
        <v>0</v>
      </c>
      <c r="J233" s="828"/>
      <c r="K233" s="762"/>
      <c r="L233" s="761"/>
    </row>
    <row r="234" spans="1:12" ht="15.75" hidden="1">
      <c r="A234" s="505" t="s">
        <v>142</v>
      </c>
      <c r="B234" s="428" t="s">
        <v>141</v>
      </c>
      <c r="C234" s="672">
        <f>SUM(D234,K234,L234)</f>
        <v>611753</v>
      </c>
      <c r="D234" s="672">
        <f>SUM(E234:J234)</f>
        <v>156072</v>
      </c>
      <c r="E234" s="761">
        <v>11475</v>
      </c>
      <c r="F234" s="762">
        <v>0</v>
      </c>
      <c r="G234" s="762">
        <v>2000</v>
      </c>
      <c r="H234" s="829">
        <v>0</v>
      </c>
      <c r="I234" s="762">
        <v>0</v>
      </c>
      <c r="J234" s="827">
        <v>142597</v>
      </c>
      <c r="K234" s="762">
        <v>0</v>
      </c>
      <c r="L234" s="763">
        <v>455681</v>
      </c>
    </row>
    <row r="235" spans="1:12" ht="15.75" hidden="1">
      <c r="A235" s="505" t="s">
        <v>144</v>
      </c>
      <c r="B235" s="428" t="s">
        <v>143</v>
      </c>
      <c r="C235" s="667">
        <f>D235+K235+L235</f>
        <v>0</v>
      </c>
      <c r="D235" s="667">
        <f>E235+F235+G235+H235+I235+J235</f>
        <v>0</v>
      </c>
      <c r="E235" s="757">
        <v>0</v>
      </c>
      <c r="F235" s="757">
        <v>0</v>
      </c>
      <c r="G235" s="757">
        <v>0</v>
      </c>
      <c r="H235" s="757">
        <v>0</v>
      </c>
      <c r="I235" s="757">
        <v>0</v>
      </c>
      <c r="J235" s="757"/>
      <c r="K235" s="757"/>
      <c r="L235" s="757"/>
    </row>
    <row r="236" spans="1:12" ht="15.75" hidden="1">
      <c r="A236" s="505" t="s">
        <v>146</v>
      </c>
      <c r="B236" s="428" t="s">
        <v>145</v>
      </c>
      <c r="C236" s="667">
        <f>SUM(D236,K236,L236)</f>
        <v>0</v>
      </c>
      <c r="D236" s="667">
        <f>SUM(E236:J236)</f>
        <v>0</v>
      </c>
      <c r="E236" s="762"/>
      <c r="F236" s="762"/>
      <c r="G236" s="762"/>
      <c r="H236" s="762"/>
      <c r="I236" s="762"/>
      <c r="J236" s="762"/>
      <c r="K236" s="762"/>
      <c r="L236" s="762"/>
    </row>
    <row r="237" spans="1:12" ht="25.5" hidden="1">
      <c r="A237" s="505" t="s">
        <v>148</v>
      </c>
      <c r="B237" s="430" t="s">
        <v>147</v>
      </c>
      <c r="C237" s="667">
        <f>SUM(D237,K237,L237)</f>
        <v>0</v>
      </c>
      <c r="D237" s="667">
        <f>SUM(E237:J237)</f>
        <v>0</v>
      </c>
      <c r="E237" s="700"/>
      <c r="F237" s="700"/>
      <c r="G237" s="700"/>
      <c r="H237" s="700"/>
      <c r="I237" s="700"/>
      <c r="J237" s="700"/>
      <c r="K237" s="700"/>
      <c r="L237" s="700"/>
    </row>
    <row r="238" spans="1:12" ht="15.75" hidden="1">
      <c r="A238" s="505" t="s">
        <v>185</v>
      </c>
      <c r="B238" s="428" t="s">
        <v>149</v>
      </c>
      <c r="C238" s="667">
        <f>SUM(D238,K238,L238)</f>
        <v>0</v>
      </c>
      <c r="D238" s="667">
        <f>SUM(E238:J238)</f>
        <v>0</v>
      </c>
      <c r="E238" s="699"/>
      <c r="F238" s="699"/>
      <c r="G238" s="699"/>
      <c r="H238" s="699"/>
      <c r="I238" s="699"/>
      <c r="J238" s="699"/>
      <c r="K238" s="699"/>
      <c r="L238" s="699"/>
    </row>
    <row r="239" spans="1:12" ht="15" hidden="1">
      <c r="A239" s="506" t="s">
        <v>52</v>
      </c>
      <c r="B239" s="394" t="s">
        <v>150</v>
      </c>
      <c r="C239" s="669">
        <f>C224-C227-C230</f>
        <v>1610310</v>
      </c>
      <c r="D239" s="669">
        <f>SUM(E239:J239)</f>
        <v>66477</v>
      </c>
      <c r="E239" s="669">
        <f>E229-E230</f>
        <v>54927</v>
      </c>
      <c r="F239" s="669">
        <f aca="true" t="shared" si="51" ref="F239:K239">F229-F230</f>
        <v>0</v>
      </c>
      <c r="G239" s="669">
        <f t="shared" si="51"/>
        <v>0</v>
      </c>
      <c r="H239" s="669">
        <f t="shared" si="51"/>
        <v>0</v>
      </c>
      <c r="I239" s="669">
        <f t="shared" si="51"/>
        <v>11550</v>
      </c>
      <c r="J239" s="669">
        <f t="shared" si="51"/>
        <v>0</v>
      </c>
      <c r="K239" s="669">
        <f t="shared" si="51"/>
        <v>0</v>
      </c>
      <c r="L239" s="669">
        <f>L229-L230</f>
        <v>1543833</v>
      </c>
    </row>
    <row r="240" spans="1:12" ht="25.5" hidden="1">
      <c r="A240" s="532" t="s">
        <v>538</v>
      </c>
      <c r="B240" s="486" t="s">
        <v>213</v>
      </c>
      <c r="C240" s="530">
        <f>(C231+C232+C233)/C230</f>
        <v>0.2015826010464535</v>
      </c>
      <c r="D240" s="530">
        <f aca="true" t="shared" si="52" ref="D240:L240">(D231+D232+D233)/D230</f>
        <v>0.2594659226783579</v>
      </c>
      <c r="E240" s="531">
        <f t="shared" si="52"/>
        <v>0.3323830579474052</v>
      </c>
      <c r="F240" s="531" t="e">
        <f t="shared" si="52"/>
        <v>#DIV/0!</v>
      </c>
      <c r="G240" s="531">
        <f t="shared" si="52"/>
        <v>0.6923076923076923</v>
      </c>
      <c r="H240" s="531">
        <f t="shared" si="52"/>
        <v>1</v>
      </c>
      <c r="I240" s="531">
        <f t="shared" si="52"/>
        <v>1</v>
      </c>
      <c r="J240" s="531">
        <f t="shared" si="52"/>
        <v>0.20051020408163264</v>
      </c>
      <c r="K240" s="531" t="e">
        <f t="shared" si="52"/>
        <v>#DIV/0!</v>
      </c>
      <c r="L240" s="531">
        <f t="shared" si="52"/>
        <v>0.17961980444719697</v>
      </c>
    </row>
  </sheetData>
  <sheetProtection/>
  <mergeCells count="103">
    <mergeCell ref="D219:L219"/>
    <mergeCell ref="D220:J220"/>
    <mergeCell ref="K220:K222"/>
    <mergeCell ref="L220:L222"/>
    <mergeCell ref="D221:D222"/>
    <mergeCell ref="E221:J221"/>
    <mergeCell ref="A223:B223"/>
    <mergeCell ref="A198:B198"/>
    <mergeCell ref="A219:B222"/>
    <mergeCell ref="C219:C222"/>
    <mergeCell ref="A173:B173"/>
    <mergeCell ref="A194:B197"/>
    <mergeCell ref="C194:C197"/>
    <mergeCell ref="D194:L194"/>
    <mergeCell ref="D195:J195"/>
    <mergeCell ref="K195:K197"/>
    <mergeCell ref="L195:L197"/>
    <mergeCell ref="D196:D197"/>
    <mergeCell ref="E196:J196"/>
    <mergeCell ref="A148:B148"/>
    <mergeCell ref="A169:B172"/>
    <mergeCell ref="C169:C172"/>
    <mergeCell ref="D169:L169"/>
    <mergeCell ref="D170:J170"/>
    <mergeCell ref="K170:K172"/>
    <mergeCell ref="L170:L172"/>
    <mergeCell ref="D171:D172"/>
    <mergeCell ref="E171:J171"/>
    <mergeCell ref="A123:B123"/>
    <mergeCell ref="A144:B147"/>
    <mergeCell ref="C144:C147"/>
    <mergeCell ref="D144:L144"/>
    <mergeCell ref="D145:J145"/>
    <mergeCell ref="K145:K147"/>
    <mergeCell ref="L145:L147"/>
    <mergeCell ref="D146:D147"/>
    <mergeCell ref="E146:J146"/>
    <mergeCell ref="A98:B98"/>
    <mergeCell ref="A119:B122"/>
    <mergeCell ref="C119:C122"/>
    <mergeCell ref="D119:L119"/>
    <mergeCell ref="D120:J120"/>
    <mergeCell ref="K120:K122"/>
    <mergeCell ref="L120:L122"/>
    <mergeCell ref="D121:D122"/>
    <mergeCell ref="E121:J121"/>
    <mergeCell ref="A74:B74"/>
    <mergeCell ref="A94:B97"/>
    <mergeCell ref="C94:C97"/>
    <mergeCell ref="D94:L94"/>
    <mergeCell ref="D95:J95"/>
    <mergeCell ref="K95:K97"/>
    <mergeCell ref="L95:L97"/>
    <mergeCell ref="D96:D97"/>
    <mergeCell ref="E96:J96"/>
    <mergeCell ref="A49:B49"/>
    <mergeCell ref="A70:B73"/>
    <mergeCell ref="C70:C73"/>
    <mergeCell ref="D70:L70"/>
    <mergeCell ref="D71:J71"/>
    <mergeCell ref="K71:K73"/>
    <mergeCell ref="L71:L73"/>
    <mergeCell ref="D72:D73"/>
    <mergeCell ref="E72:J72"/>
    <mergeCell ref="B32:C32"/>
    <mergeCell ref="N6:P6"/>
    <mergeCell ref="A45:B48"/>
    <mergeCell ref="C45:C48"/>
    <mergeCell ref="D45:L45"/>
    <mergeCell ref="D46:J46"/>
    <mergeCell ref="K46:K48"/>
    <mergeCell ref="L46:L48"/>
    <mergeCell ref="D47:D48"/>
    <mergeCell ref="E47:J47"/>
    <mergeCell ref="A2:C2"/>
    <mergeCell ref="D2:J2"/>
    <mergeCell ref="K4:L4"/>
    <mergeCell ref="K5:L5"/>
    <mergeCell ref="D6:L6"/>
    <mergeCell ref="D7:J7"/>
    <mergeCell ref="K7:K9"/>
    <mergeCell ref="L7:L9"/>
    <mergeCell ref="K2:L2"/>
    <mergeCell ref="K3:L3"/>
    <mergeCell ref="A37:D37"/>
    <mergeCell ref="E5:I5"/>
    <mergeCell ref="H37:L37"/>
    <mergeCell ref="A1:B1"/>
    <mergeCell ref="A3:B3"/>
    <mergeCell ref="D1:J1"/>
    <mergeCell ref="D3:J3"/>
    <mergeCell ref="K1:L1"/>
    <mergeCell ref="I28:L28"/>
    <mergeCell ref="E8:J8"/>
    <mergeCell ref="M9:P9"/>
    <mergeCell ref="B30:C30"/>
    <mergeCell ref="C6:C9"/>
    <mergeCell ref="D8:D9"/>
    <mergeCell ref="A10:B10"/>
    <mergeCell ref="A6:B9"/>
    <mergeCell ref="G30:L30"/>
    <mergeCell ref="A29:D29"/>
    <mergeCell ref="H29:L29"/>
  </mergeCells>
  <conditionalFormatting sqref="C11">
    <cfRule type="cellIs" priority="25" dxfId="26" operator="equal" stopIfTrue="1">
      <formula>"Kiểm tra lại"</formula>
    </cfRule>
  </conditionalFormatting>
  <conditionalFormatting sqref="C17:L17">
    <cfRule type="cellIs" priority="26" dxfId="27" operator="equal" stopIfTrue="1">
      <formula>"Kiểm tra lại"</formula>
    </cfRule>
  </conditionalFormatting>
  <conditionalFormatting sqref="C50">
    <cfRule type="cellIs" priority="24" dxfId="26" operator="equal" stopIfTrue="1">
      <formula>"Kiểm tra lại"</formula>
    </cfRule>
  </conditionalFormatting>
  <conditionalFormatting sqref="C56:L56">
    <cfRule type="cellIs" priority="23" dxfId="27" operator="equal" stopIfTrue="1">
      <formula>"Kiểm tra lại"</formula>
    </cfRule>
  </conditionalFormatting>
  <conditionalFormatting sqref="C75">
    <cfRule type="cellIs" priority="22" dxfId="26" operator="equal" stopIfTrue="1">
      <formula>"Kiểm tra lại"</formula>
    </cfRule>
  </conditionalFormatting>
  <conditionalFormatting sqref="C81:L81">
    <cfRule type="cellIs" priority="21" dxfId="27" operator="equal" stopIfTrue="1">
      <formula>"Kiểm tra lại"</formula>
    </cfRule>
  </conditionalFormatting>
  <conditionalFormatting sqref="C99">
    <cfRule type="cellIs" priority="20" dxfId="26" operator="equal" stopIfTrue="1">
      <formula>"Kiểm tra lại"</formula>
    </cfRule>
  </conditionalFormatting>
  <conditionalFormatting sqref="C105:L105">
    <cfRule type="cellIs" priority="19" dxfId="27" operator="equal" stopIfTrue="1">
      <formula>"Kiểm tra lại"</formula>
    </cfRule>
  </conditionalFormatting>
  <conditionalFormatting sqref="C124">
    <cfRule type="cellIs" priority="18" dxfId="26" operator="equal" stopIfTrue="1">
      <formula>"Kiểm tra lại"</formula>
    </cfRule>
  </conditionalFormatting>
  <conditionalFormatting sqref="C130:L130">
    <cfRule type="cellIs" priority="17" dxfId="27" operator="equal" stopIfTrue="1">
      <formula>"Kiểm tra lại"</formula>
    </cfRule>
  </conditionalFormatting>
  <conditionalFormatting sqref="C149">
    <cfRule type="cellIs" priority="16" dxfId="26" operator="equal" stopIfTrue="1">
      <formula>"Kiểm tra lại"</formula>
    </cfRule>
  </conditionalFormatting>
  <conditionalFormatting sqref="C155:L155">
    <cfRule type="cellIs" priority="15" dxfId="27" operator="equal" stopIfTrue="1">
      <formula>"Kiểm tra lại"</formula>
    </cfRule>
  </conditionalFormatting>
  <conditionalFormatting sqref="C174">
    <cfRule type="cellIs" priority="14" dxfId="26" operator="equal" stopIfTrue="1">
      <formula>"Kiểm tra lại"</formula>
    </cfRule>
  </conditionalFormatting>
  <conditionalFormatting sqref="C180:L180">
    <cfRule type="cellIs" priority="13" dxfId="27" operator="equal" stopIfTrue="1">
      <formula>"Kiểm tra lại"</formula>
    </cfRule>
  </conditionalFormatting>
  <conditionalFormatting sqref="C199">
    <cfRule type="cellIs" priority="12" dxfId="26" operator="equal" stopIfTrue="1">
      <formula>"Kiểm tra lại"</formula>
    </cfRule>
  </conditionalFormatting>
  <conditionalFormatting sqref="C205:L205">
    <cfRule type="cellIs" priority="11" dxfId="27" operator="equal" stopIfTrue="1">
      <formula>"Kiểm tra lại"</formula>
    </cfRule>
  </conditionalFormatting>
  <conditionalFormatting sqref="C224">
    <cfRule type="cellIs" priority="10" dxfId="26" operator="equal" stopIfTrue="1">
      <formula>"Kiểm tra lại"</formula>
    </cfRule>
  </conditionalFormatting>
  <conditionalFormatting sqref="C230:L230">
    <cfRule type="cellIs" priority="9" dxfId="27" operator="equal" stopIfTrue="1">
      <formula>"Kiểm tra lại"</formula>
    </cfRule>
  </conditionalFormatting>
  <conditionalFormatting sqref="C174">
    <cfRule type="cellIs" priority="8" dxfId="26" operator="equal" stopIfTrue="1">
      <formula>"Kiểm tra lại"</formula>
    </cfRule>
  </conditionalFormatting>
  <conditionalFormatting sqref="C180:L180">
    <cfRule type="cellIs" priority="7" dxfId="27" operator="equal" stopIfTrue="1">
      <formula>"Kiểm tra lại"</formula>
    </cfRule>
  </conditionalFormatting>
  <conditionalFormatting sqref="C99">
    <cfRule type="cellIs" priority="6" dxfId="26" operator="equal" stopIfTrue="1">
      <formula>"Kiểm tra lại"</formula>
    </cfRule>
  </conditionalFormatting>
  <conditionalFormatting sqref="C105:L105">
    <cfRule type="cellIs" priority="5" dxfId="27" operator="equal" stopIfTrue="1">
      <formula>"Kiểm tra lại"</formula>
    </cfRule>
  </conditionalFormatting>
  <conditionalFormatting sqref="C99">
    <cfRule type="cellIs" priority="4" dxfId="26" operator="equal" stopIfTrue="1">
      <formula>"Kiểm tra lại"</formula>
    </cfRule>
  </conditionalFormatting>
  <conditionalFormatting sqref="C105:L105">
    <cfRule type="cellIs" priority="3" dxfId="27" operator="equal" stopIfTrue="1">
      <formula>"Kiểm tra lại"</formula>
    </cfRule>
  </conditionalFormatting>
  <conditionalFormatting sqref="C99">
    <cfRule type="cellIs" priority="2" dxfId="26" operator="equal" stopIfTrue="1">
      <formula>"Kiểm tra lại"</formula>
    </cfRule>
  </conditionalFormatting>
  <conditionalFormatting sqref="C105:L105">
    <cfRule type="cellIs" priority="1" dxfId="27" operator="equal" stopIfTrue="1">
      <formula>"Kiểm tra lại"</formula>
    </cfRule>
  </conditionalFormatting>
  <printOptions/>
  <pageMargins left="0.34" right="0" top="0.1968503937007874" bottom="0" header="0.1968503937007874" footer="0.1968503937007874"/>
  <pageSetup horizontalDpi="600" verticalDpi="600" orientation="landscape" paperSize="9" scale="85"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T74"/>
  <sheetViews>
    <sheetView showZeros="0" zoomScaleSheetLayoutView="85" zoomScalePageLayoutView="0" workbookViewId="0" topLeftCell="A7">
      <pane xSplit="1" ySplit="5" topLeftCell="B54" activePane="bottomRight" state="frozen"/>
      <selection pane="topLeft" activeCell="A7" sqref="A7"/>
      <selection pane="topRight" activeCell="B7" sqref="B7"/>
      <selection pane="bottomLeft" activeCell="A12" sqref="A12"/>
      <selection pane="bottomRight" activeCell="Q48" sqref="Q48:Q51"/>
    </sheetView>
  </sheetViews>
  <sheetFormatPr defaultColWidth="9.00390625" defaultRowHeight="15.75"/>
  <cols>
    <col min="1" max="1" width="3.50390625" style="26" customWidth="1"/>
    <col min="2" max="2" width="25.25390625" style="26" customWidth="1"/>
    <col min="3" max="3" width="9.625" style="26" customWidth="1"/>
    <col min="4" max="5" width="7.375" style="26" customWidth="1"/>
    <col min="6" max="6" width="6.50390625" style="26" customWidth="1"/>
    <col min="7" max="7" width="6.75390625" style="26" customWidth="1"/>
    <col min="8" max="8" width="8.875" style="26" customWidth="1"/>
    <col min="9" max="9" width="7.875" style="26" customWidth="1"/>
    <col min="10" max="11" width="6.25390625" style="26" customWidth="1"/>
    <col min="12" max="12" width="5.75390625" style="26" customWidth="1"/>
    <col min="13" max="14" width="5.875" style="26" customWidth="1"/>
    <col min="15" max="15" width="5.25390625" style="26" customWidth="1"/>
    <col min="16" max="16" width="4.375" style="26" customWidth="1"/>
    <col min="17" max="17" width="7.00390625" style="26" customWidth="1"/>
    <col min="18" max="18" width="6.75390625" style="26" customWidth="1"/>
    <col min="19" max="19" width="7.25390625" style="26" customWidth="1"/>
    <col min="20" max="16384" width="9.00390625" style="26" customWidth="1"/>
  </cols>
  <sheetData>
    <row r="1" spans="1:19" ht="20.25" customHeight="1">
      <c r="A1" s="449" t="s">
        <v>33</v>
      </c>
      <c r="B1" s="449"/>
      <c r="C1" s="449"/>
      <c r="E1" s="1308" t="s">
        <v>82</v>
      </c>
      <c r="F1" s="1308"/>
      <c r="G1" s="1308"/>
      <c r="H1" s="1308"/>
      <c r="I1" s="1308"/>
      <c r="J1" s="1308"/>
      <c r="K1" s="1308"/>
      <c r="L1" s="1308"/>
      <c r="M1" s="1308"/>
      <c r="N1" s="1308"/>
      <c r="O1" s="1308"/>
      <c r="P1" s="408" t="s">
        <v>559</v>
      </c>
      <c r="Q1" s="408"/>
      <c r="R1" s="408"/>
      <c r="S1" s="408"/>
    </row>
    <row r="2" spans="1:19" ht="17.25" customHeight="1">
      <c r="A2" s="1386" t="s">
        <v>342</v>
      </c>
      <c r="B2" s="1386"/>
      <c r="C2" s="1386"/>
      <c r="D2" s="1386"/>
      <c r="E2" s="1307" t="s">
        <v>41</v>
      </c>
      <c r="F2" s="1307"/>
      <c r="G2" s="1307"/>
      <c r="H2" s="1307"/>
      <c r="I2" s="1307"/>
      <c r="J2" s="1307"/>
      <c r="K2" s="1307"/>
      <c r="L2" s="1307"/>
      <c r="M2" s="1307"/>
      <c r="N2" s="1307"/>
      <c r="O2" s="1307"/>
      <c r="P2" s="1387" t="str">
        <f>'Thong tin'!B4</f>
        <v>Cục THADS tỉnh Tuyên Quang</v>
      </c>
      <c r="Q2" s="1387"/>
      <c r="R2" s="1387"/>
      <c r="S2" s="1387"/>
    </row>
    <row r="3" spans="1:19" ht="19.5" customHeight="1">
      <c r="A3" s="1386" t="s">
        <v>343</v>
      </c>
      <c r="B3" s="1386"/>
      <c r="C3" s="1386"/>
      <c r="D3" s="1386"/>
      <c r="E3" s="1373" t="str">
        <f>'Thong tin'!B3</f>
        <v>03 tháng / năm 2018</v>
      </c>
      <c r="F3" s="1373"/>
      <c r="G3" s="1373"/>
      <c r="H3" s="1373"/>
      <c r="I3" s="1373"/>
      <c r="J3" s="1373"/>
      <c r="K3" s="1373"/>
      <c r="L3" s="1373"/>
      <c r="M3" s="1373"/>
      <c r="N3" s="1373"/>
      <c r="O3" s="1373"/>
      <c r="P3" s="408" t="s">
        <v>560</v>
      </c>
      <c r="Q3" s="449"/>
      <c r="R3" s="408"/>
      <c r="S3" s="408"/>
    </row>
    <row r="4" spans="1:19" ht="14.25" customHeight="1">
      <c r="A4" s="411" t="s">
        <v>215</v>
      </c>
      <c r="B4" s="449"/>
      <c r="C4" s="449"/>
      <c r="D4" s="449"/>
      <c r="E4" s="449"/>
      <c r="F4" s="449"/>
      <c r="G4" s="449"/>
      <c r="H4" s="449"/>
      <c r="I4" s="449"/>
      <c r="J4" s="449"/>
      <c r="K4" s="449"/>
      <c r="L4" s="449"/>
      <c r="M4" s="449"/>
      <c r="N4" s="490"/>
      <c r="O4" s="490"/>
      <c r="P4" s="1385" t="s">
        <v>410</v>
      </c>
      <c r="Q4" s="1385"/>
      <c r="R4" s="1385"/>
      <c r="S4" s="1385"/>
    </row>
    <row r="5" spans="2:19" ht="21.75" customHeight="1">
      <c r="B5" s="445"/>
      <c r="C5" s="445"/>
      <c r="Q5" s="491" t="s">
        <v>341</v>
      </c>
      <c r="R5" s="492"/>
      <c r="S5" s="492"/>
    </row>
    <row r="6" spans="1:19" ht="18.75" customHeight="1">
      <c r="A6" s="957" t="s">
        <v>71</v>
      </c>
      <c r="B6" s="958"/>
      <c r="C6" s="1382" t="s">
        <v>216</v>
      </c>
      <c r="D6" s="1383"/>
      <c r="E6" s="1384"/>
      <c r="F6" s="1374" t="s">
        <v>133</v>
      </c>
      <c r="G6" s="965" t="s">
        <v>217</v>
      </c>
      <c r="H6" s="1379" t="s">
        <v>136</v>
      </c>
      <c r="I6" s="1380"/>
      <c r="J6" s="1380"/>
      <c r="K6" s="1380"/>
      <c r="L6" s="1380"/>
      <c r="M6" s="1380"/>
      <c r="N6" s="1380"/>
      <c r="O6" s="1380"/>
      <c r="P6" s="1380"/>
      <c r="Q6" s="1381"/>
      <c r="R6" s="1360" t="s">
        <v>352</v>
      </c>
      <c r="S6" s="1360" t="s">
        <v>562</v>
      </c>
    </row>
    <row r="7" spans="1:19" s="408" customFormat="1" ht="18.75" customHeight="1">
      <c r="A7" s="959"/>
      <c r="B7" s="960"/>
      <c r="C7" s="1360" t="s">
        <v>50</v>
      </c>
      <c r="D7" s="1363" t="s">
        <v>7</v>
      </c>
      <c r="E7" s="1364"/>
      <c r="F7" s="1375"/>
      <c r="G7" s="1377"/>
      <c r="H7" s="965" t="s">
        <v>136</v>
      </c>
      <c r="I7" s="1382" t="s">
        <v>137</v>
      </c>
      <c r="J7" s="1383"/>
      <c r="K7" s="1383"/>
      <c r="L7" s="1383"/>
      <c r="M7" s="1383"/>
      <c r="N7" s="1383"/>
      <c r="O7" s="1383"/>
      <c r="P7" s="1384"/>
      <c r="Q7" s="965" t="s">
        <v>150</v>
      </c>
      <c r="R7" s="1361"/>
      <c r="S7" s="1361"/>
    </row>
    <row r="8" spans="1:19" ht="18.75" customHeight="1">
      <c r="A8" s="959"/>
      <c r="B8" s="960"/>
      <c r="C8" s="1361"/>
      <c r="D8" s="1365" t="s">
        <v>219</v>
      </c>
      <c r="E8" s="1365" t="s">
        <v>220</v>
      </c>
      <c r="F8" s="1375"/>
      <c r="G8" s="1377"/>
      <c r="H8" s="1377"/>
      <c r="I8" s="965" t="s">
        <v>561</v>
      </c>
      <c r="J8" s="1363" t="s">
        <v>7</v>
      </c>
      <c r="K8" s="1367"/>
      <c r="L8" s="1367"/>
      <c r="M8" s="1367"/>
      <c r="N8" s="1367"/>
      <c r="O8" s="1367"/>
      <c r="P8" s="1364"/>
      <c r="Q8" s="1377"/>
      <c r="R8" s="1361"/>
      <c r="S8" s="1361"/>
    </row>
    <row r="9" spans="1:19" ht="134.25" customHeight="1">
      <c r="A9" s="1333"/>
      <c r="B9" s="1334"/>
      <c r="C9" s="1362"/>
      <c r="D9" s="1366"/>
      <c r="E9" s="1366"/>
      <c r="F9" s="1376"/>
      <c r="G9" s="1378"/>
      <c r="H9" s="1378"/>
      <c r="I9" s="1378"/>
      <c r="J9" s="493" t="s">
        <v>221</v>
      </c>
      <c r="K9" s="493" t="s">
        <v>222</v>
      </c>
      <c r="L9" s="494" t="s">
        <v>141</v>
      </c>
      <c r="M9" s="494" t="s">
        <v>223</v>
      </c>
      <c r="N9" s="494" t="s">
        <v>145</v>
      </c>
      <c r="O9" s="494" t="s">
        <v>353</v>
      </c>
      <c r="P9" s="494" t="s">
        <v>149</v>
      </c>
      <c r="Q9" s="1378"/>
      <c r="R9" s="1362"/>
      <c r="S9" s="1362"/>
    </row>
    <row r="10" spans="1:19" ht="22.5" customHeight="1">
      <c r="A10" s="1368" t="s">
        <v>6</v>
      </c>
      <c r="B10" s="1369"/>
      <c r="C10" s="495">
        <v>1</v>
      </c>
      <c r="D10" s="495">
        <v>2</v>
      </c>
      <c r="E10" s="495">
        <v>3</v>
      </c>
      <c r="F10" s="495">
        <v>4</v>
      </c>
      <c r="G10" s="495">
        <v>5</v>
      </c>
      <c r="H10" s="495">
        <v>6</v>
      </c>
      <c r="I10" s="495">
        <v>7</v>
      </c>
      <c r="J10" s="495">
        <v>8</v>
      </c>
      <c r="K10" s="495">
        <v>9</v>
      </c>
      <c r="L10" s="495">
        <v>10</v>
      </c>
      <c r="M10" s="495">
        <v>11</v>
      </c>
      <c r="N10" s="495">
        <v>12</v>
      </c>
      <c r="O10" s="495">
        <v>13</v>
      </c>
      <c r="P10" s="495">
        <v>14</v>
      </c>
      <c r="Q10" s="495">
        <v>15</v>
      </c>
      <c r="R10" s="495">
        <v>16</v>
      </c>
      <c r="S10" s="496">
        <v>17</v>
      </c>
    </row>
    <row r="11" spans="1:20" ht="25.5" customHeight="1">
      <c r="A11" s="1390" t="s">
        <v>36</v>
      </c>
      <c r="B11" s="1384"/>
      <c r="C11" s="835">
        <f>C12+C24+C33+C40+C47+C52+C57+C60</f>
        <v>2944</v>
      </c>
      <c r="D11" s="835">
        <f>D12+D24+D33+D40+D47+D52+D57+D60</f>
        <v>1580</v>
      </c>
      <c r="E11" s="835">
        <f>E12+E24+E33+E40+E47+E52+E57+E60</f>
        <v>1364</v>
      </c>
      <c r="F11" s="835">
        <f>F12+F24+F33+F40+F47+F52+F57+F60</f>
        <v>11</v>
      </c>
      <c r="G11" s="835">
        <f>G12+G24+G33+G40+G47+G52+G57+G60</f>
        <v>0</v>
      </c>
      <c r="H11" s="835">
        <f>I11+Q11</f>
        <v>2933</v>
      </c>
      <c r="I11" s="835">
        <f aca="true" t="shared" si="0" ref="I11:R11">I12+I24+I33+I40+I47+I52+I57+I60</f>
        <v>1675</v>
      </c>
      <c r="J11" s="835">
        <f t="shared" si="0"/>
        <v>1154</v>
      </c>
      <c r="K11" s="835">
        <f t="shared" si="0"/>
        <v>15</v>
      </c>
      <c r="L11" s="835">
        <f t="shared" si="0"/>
        <v>463</v>
      </c>
      <c r="M11" s="835">
        <f t="shared" si="0"/>
        <v>36</v>
      </c>
      <c r="N11" s="835">
        <f t="shared" si="0"/>
        <v>0</v>
      </c>
      <c r="O11" s="835">
        <f t="shared" si="0"/>
        <v>0</v>
      </c>
      <c r="P11" s="835">
        <f t="shared" si="0"/>
        <v>7</v>
      </c>
      <c r="Q11" s="835">
        <f t="shared" si="0"/>
        <v>1258</v>
      </c>
      <c r="R11" s="835">
        <f t="shared" si="0"/>
        <v>1764</v>
      </c>
      <c r="S11" s="836">
        <f>SUM(J11:K11)/SUM(I11)*100%</f>
        <v>0.697910447761194</v>
      </c>
      <c r="T11" s="662"/>
    </row>
    <row r="12" spans="1:19" ht="15">
      <c r="A12" s="497" t="s">
        <v>0</v>
      </c>
      <c r="B12" s="406" t="s">
        <v>97</v>
      </c>
      <c r="C12" s="835">
        <f>D12+E12</f>
        <v>205</v>
      </c>
      <c r="D12" s="835">
        <f aca="true" t="shared" si="1" ref="D12:Q12">SUM(D13:D22)</f>
        <v>167</v>
      </c>
      <c r="E12" s="835">
        <f t="shared" si="1"/>
        <v>38</v>
      </c>
      <c r="F12" s="835">
        <f t="shared" si="1"/>
        <v>0</v>
      </c>
      <c r="G12" s="835">
        <f t="shared" si="1"/>
        <v>0</v>
      </c>
      <c r="H12" s="835">
        <f t="shared" si="1"/>
        <v>205</v>
      </c>
      <c r="I12" s="835">
        <f>SUM(I13:I22)</f>
        <v>42</v>
      </c>
      <c r="J12" s="835">
        <f t="shared" si="1"/>
        <v>26</v>
      </c>
      <c r="K12" s="835">
        <f t="shared" si="1"/>
        <v>0</v>
      </c>
      <c r="L12" s="835">
        <f t="shared" si="1"/>
        <v>16</v>
      </c>
      <c r="M12" s="835">
        <f t="shared" si="1"/>
        <v>0</v>
      </c>
      <c r="N12" s="835">
        <f t="shared" si="1"/>
        <v>0</v>
      </c>
      <c r="O12" s="835">
        <f t="shared" si="1"/>
        <v>0</v>
      </c>
      <c r="P12" s="835">
        <f t="shared" si="1"/>
        <v>0</v>
      </c>
      <c r="Q12" s="835">
        <f t="shared" si="1"/>
        <v>163</v>
      </c>
      <c r="R12" s="835">
        <f>SUM(R13:R22)</f>
        <v>179</v>
      </c>
      <c r="S12" s="836">
        <f aca="true" t="shared" si="2" ref="S12:S59">SUM(J12:K12)/SUM(I12)*100%</f>
        <v>0.6190476190476191</v>
      </c>
    </row>
    <row r="13" spans="1:19" ht="18.75" customHeight="1">
      <c r="A13" s="663" t="s">
        <v>51</v>
      </c>
      <c r="B13" s="837" t="s">
        <v>628</v>
      </c>
      <c r="C13" s="838">
        <f>D13+E13</f>
        <v>25</v>
      </c>
      <c r="D13" s="839">
        <v>19</v>
      </c>
      <c r="E13" s="840">
        <v>6</v>
      </c>
      <c r="F13" s="841"/>
      <c r="G13" s="842"/>
      <c r="H13" s="838">
        <f>I13+Q13</f>
        <v>25</v>
      </c>
      <c r="I13" s="838">
        <f>SUM(J13:P13)</f>
        <v>6</v>
      </c>
      <c r="J13" s="840">
        <v>6</v>
      </c>
      <c r="K13" s="843">
        <v>0</v>
      </c>
      <c r="L13" s="843">
        <v>0</v>
      </c>
      <c r="M13" s="844"/>
      <c r="N13" s="845"/>
      <c r="O13" s="845"/>
      <c r="P13" s="845"/>
      <c r="Q13" s="872">
        <v>19</v>
      </c>
      <c r="R13" s="838">
        <f>(C13-F13-J13-K13)</f>
        <v>19</v>
      </c>
      <c r="S13" s="846">
        <f t="shared" si="2"/>
        <v>1</v>
      </c>
    </row>
    <row r="14" spans="1:19" ht="18.75" customHeight="1">
      <c r="A14" s="663" t="s">
        <v>52</v>
      </c>
      <c r="B14" s="837" t="s">
        <v>629</v>
      </c>
      <c r="C14" s="838">
        <f aca="true" t="shared" si="3" ref="C14:C22">D14+E14</f>
        <v>29</v>
      </c>
      <c r="D14" s="839">
        <v>14</v>
      </c>
      <c r="E14" s="840">
        <v>15</v>
      </c>
      <c r="F14" s="841"/>
      <c r="G14" s="842"/>
      <c r="H14" s="838">
        <f>I14+Q14</f>
        <v>29</v>
      </c>
      <c r="I14" s="838">
        <f aca="true" t="shared" si="4" ref="I14:I22">SUM(J14:P14)</f>
        <v>17</v>
      </c>
      <c r="J14" s="840">
        <v>5</v>
      </c>
      <c r="K14" s="843">
        <v>0</v>
      </c>
      <c r="L14" s="840">
        <v>12</v>
      </c>
      <c r="M14" s="844"/>
      <c r="N14" s="845"/>
      <c r="O14" s="845"/>
      <c r="P14" s="845"/>
      <c r="Q14" s="872">
        <v>12</v>
      </c>
      <c r="R14" s="838">
        <f aca="true" t="shared" si="5" ref="R14:R22">(C14-F14-J14-K14)</f>
        <v>24</v>
      </c>
      <c r="S14" s="846">
        <f t="shared" si="2"/>
        <v>0.29411764705882354</v>
      </c>
    </row>
    <row r="15" spans="1:19" ht="18.75" customHeight="1">
      <c r="A15" s="663" t="s">
        <v>57</v>
      </c>
      <c r="B15" s="837" t="s">
        <v>636</v>
      </c>
      <c r="C15" s="838">
        <f t="shared" si="3"/>
        <v>115</v>
      </c>
      <c r="D15" s="839">
        <v>104</v>
      </c>
      <c r="E15" s="847">
        <v>11</v>
      </c>
      <c r="F15" s="848"/>
      <c r="G15" s="849"/>
      <c r="H15" s="838">
        <f aca="true" t="shared" si="6" ref="H15:H22">I15+Q15</f>
        <v>115</v>
      </c>
      <c r="I15" s="838">
        <f t="shared" si="4"/>
        <v>12</v>
      </c>
      <c r="J15" s="847">
        <v>10</v>
      </c>
      <c r="K15" s="850"/>
      <c r="L15" s="847">
        <v>2</v>
      </c>
      <c r="M15" s="851"/>
      <c r="N15" s="852"/>
      <c r="O15" s="852"/>
      <c r="P15" s="852"/>
      <c r="Q15" s="872">
        <v>103</v>
      </c>
      <c r="R15" s="838">
        <f t="shared" si="5"/>
        <v>105</v>
      </c>
      <c r="S15" s="846">
        <f t="shared" si="2"/>
        <v>0.8333333333333334</v>
      </c>
    </row>
    <row r="16" spans="1:19" ht="18.75" customHeight="1">
      <c r="A16" s="663" t="s">
        <v>72</v>
      </c>
      <c r="B16" s="837" t="s">
        <v>631</v>
      </c>
      <c r="C16" s="838">
        <f t="shared" si="3"/>
        <v>0</v>
      </c>
      <c r="D16" s="839">
        <v>0</v>
      </c>
      <c r="E16" s="840"/>
      <c r="F16" s="841"/>
      <c r="G16" s="842"/>
      <c r="H16" s="838">
        <f t="shared" si="6"/>
        <v>0</v>
      </c>
      <c r="I16" s="838">
        <f t="shared" si="4"/>
        <v>0</v>
      </c>
      <c r="J16" s="840"/>
      <c r="K16" s="843"/>
      <c r="L16" s="840">
        <v>0</v>
      </c>
      <c r="M16" s="844"/>
      <c r="N16" s="845"/>
      <c r="O16" s="845"/>
      <c r="P16" s="845"/>
      <c r="Q16" s="872">
        <v>0</v>
      </c>
      <c r="R16" s="838">
        <f t="shared" si="5"/>
        <v>0</v>
      </c>
      <c r="S16" s="846" t="e">
        <f t="shared" si="2"/>
        <v>#DIV/0!</v>
      </c>
    </row>
    <row r="17" spans="1:19" ht="18.75" customHeight="1">
      <c r="A17" s="663" t="s">
        <v>73</v>
      </c>
      <c r="B17" s="837" t="s">
        <v>632</v>
      </c>
      <c r="C17" s="838">
        <f t="shared" si="3"/>
        <v>3</v>
      </c>
      <c r="D17" s="839">
        <v>3</v>
      </c>
      <c r="E17" s="840">
        <v>0</v>
      </c>
      <c r="F17" s="841"/>
      <c r="G17" s="842"/>
      <c r="H17" s="838">
        <f t="shared" si="6"/>
        <v>3</v>
      </c>
      <c r="I17" s="838">
        <f t="shared" si="4"/>
        <v>0</v>
      </c>
      <c r="J17" s="840">
        <v>0</v>
      </c>
      <c r="K17" s="843"/>
      <c r="L17" s="840">
        <v>0</v>
      </c>
      <c r="M17" s="844"/>
      <c r="N17" s="845"/>
      <c r="O17" s="845"/>
      <c r="P17" s="845"/>
      <c r="Q17" s="872">
        <v>3</v>
      </c>
      <c r="R17" s="838">
        <f t="shared" si="5"/>
        <v>3</v>
      </c>
      <c r="S17" s="846" t="e">
        <f t="shared" si="2"/>
        <v>#DIV/0!</v>
      </c>
    </row>
    <row r="18" spans="1:19" ht="18.75" customHeight="1">
      <c r="A18" s="663" t="s">
        <v>74</v>
      </c>
      <c r="B18" s="853" t="s">
        <v>633</v>
      </c>
      <c r="C18" s="838">
        <f t="shared" si="3"/>
        <v>19</v>
      </c>
      <c r="D18" s="839">
        <v>17</v>
      </c>
      <c r="E18" s="840">
        <v>2</v>
      </c>
      <c r="F18" s="841"/>
      <c r="G18" s="842"/>
      <c r="H18" s="838">
        <f t="shared" si="6"/>
        <v>19</v>
      </c>
      <c r="I18" s="838">
        <f t="shared" si="4"/>
        <v>2</v>
      </c>
      <c r="J18" s="840">
        <v>2</v>
      </c>
      <c r="K18" s="843">
        <v>0</v>
      </c>
      <c r="L18" s="840">
        <v>0</v>
      </c>
      <c r="M18" s="844"/>
      <c r="N18" s="845"/>
      <c r="O18" s="845"/>
      <c r="P18" s="845"/>
      <c r="Q18" s="872">
        <v>17</v>
      </c>
      <c r="R18" s="838">
        <f t="shared" si="5"/>
        <v>17</v>
      </c>
      <c r="S18" s="846">
        <f t="shared" si="2"/>
        <v>1</v>
      </c>
    </row>
    <row r="19" spans="1:19" ht="18.75" customHeight="1">
      <c r="A19" s="663" t="s">
        <v>75</v>
      </c>
      <c r="B19" s="837" t="s">
        <v>725</v>
      </c>
      <c r="C19" s="838">
        <f t="shared" si="3"/>
        <v>4</v>
      </c>
      <c r="D19" s="839">
        <v>0</v>
      </c>
      <c r="E19" s="840">
        <v>4</v>
      </c>
      <c r="F19" s="841"/>
      <c r="G19" s="842"/>
      <c r="H19" s="838">
        <f t="shared" si="6"/>
        <v>4</v>
      </c>
      <c r="I19" s="838">
        <f t="shared" si="4"/>
        <v>4</v>
      </c>
      <c r="J19" s="840">
        <v>3</v>
      </c>
      <c r="K19" s="843"/>
      <c r="L19" s="840">
        <v>1</v>
      </c>
      <c r="M19" s="844"/>
      <c r="N19" s="845"/>
      <c r="O19" s="845"/>
      <c r="P19" s="845"/>
      <c r="Q19" s="872">
        <v>0</v>
      </c>
      <c r="R19" s="838">
        <f t="shared" si="5"/>
        <v>1</v>
      </c>
      <c r="S19" s="846">
        <f t="shared" si="2"/>
        <v>0.75</v>
      </c>
    </row>
    <row r="20" spans="1:19" ht="18.75" customHeight="1">
      <c r="A20" s="663" t="s">
        <v>76</v>
      </c>
      <c r="B20" s="837" t="s">
        <v>686</v>
      </c>
      <c r="C20" s="838">
        <f t="shared" si="3"/>
        <v>4</v>
      </c>
      <c r="D20" s="839">
        <v>4</v>
      </c>
      <c r="E20" s="840">
        <v>0</v>
      </c>
      <c r="F20" s="841"/>
      <c r="G20" s="842"/>
      <c r="H20" s="838">
        <f t="shared" si="6"/>
        <v>4</v>
      </c>
      <c r="I20" s="838">
        <f t="shared" si="4"/>
        <v>0</v>
      </c>
      <c r="J20" s="840">
        <v>0</v>
      </c>
      <c r="K20" s="843">
        <v>0</v>
      </c>
      <c r="L20" s="840">
        <v>0</v>
      </c>
      <c r="M20" s="844">
        <v>0</v>
      </c>
      <c r="N20" s="845">
        <v>0</v>
      </c>
      <c r="O20" s="845">
        <v>0</v>
      </c>
      <c r="P20" s="845">
        <v>0</v>
      </c>
      <c r="Q20" s="872">
        <v>4</v>
      </c>
      <c r="R20" s="838">
        <f t="shared" si="5"/>
        <v>4</v>
      </c>
      <c r="S20" s="846" t="e">
        <f t="shared" si="2"/>
        <v>#DIV/0!</v>
      </c>
    </row>
    <row r="21" spans="1:19" ht="18.75" customHeight="1">
      <c r="A21" s="663" t="s">
        <v>77</v>
      </c>
      <c r="B21" s="837" t="s">
        <v>634</v>
      </c>
      <c r="C21" s="838">
        <f t="shared" si="3"/>
        <v>5</v>
      </c>
      <c r="D21" s="839">
        <v>5</v>
      </c>
      <c r="E21" s="840">
        <v>0</v>
      </c>
      <c r="F21" s="841"/>
      <c r="G21" s="842"/>
      <c r="H21" s="838">
        <f t="shared" si="6"/>
        <v>5</v>
      </c>
      <c r="I21" s="838">
        <f t="shared" si="4"/>
        <v>1</v>
      </c>
      <c r="J21" s="840">
        <v>0</v>
      </c>
      <c r="K21" s="843"/>
      <c r="L21" s="840">
        <v>1</v>
      </c>
      <c r="M21" s="844"/>
      <c r="N21" s="845"/>
      <c r="O21" s="845"/>
      <c r="P21" s="845"/>
      <c r="Q21" s="872">
        <v>4</v>
      </c>
      <c r="R21" s="838">
        <f t="shared" si="5"/>
        <v>5</v>
      </c>
      <c r="S21" s="846">
        <f t="shared" si="2"/>
        <v>0</v>
      </c>
    </row>
    <row r="22" spans="1:19" ht="20.25" customHeight="1">
      <c r="A22" s="663" t="s">
        <v>100</v>
      </c>
      <c r="B22" s="854" t="s">
        <v>635</v>
      </c>
      <c r="C22" s="838">
        <f t="shared" si="3"/>
        <v>1</v>
      </c>
      <c r="D22" s="839">
        <v>1</v>
      </c>
      <c r="E22" s="840">
        <v>0</v>
      </c>
      <c r="F22" s="841"/>
      <c r="G22" s="842"/>
      <c r="H22" s="838">
        <f t="shared" si="6"/>
        <v>1</v>
      </c>
      <c r="I22" s="838">
        <f t="shared" si="4"/>
        <v>0</v>
      </c>
      <c r="J22" s="843">
        <v>0</v>
      </c>
      <c r="K22" s="843">
        <v>0</v>
      </c>
      <c r="L22" s="840">
        <v>0</v>
      </c>
      <c r="M22" s="844">
        <v>0</v>
      </c>
      <c r="N22" s="845">
        <v>0</v>
      </c>
      <c r="O22" s="845">
        <v>0</v>
      </c>
      <c r="P22" s="845">
        <v>0</v>
      </c>
      <c r="Q22" s="872">
        <v>1</v>
      </c>
      <c r="R22" s="838">
        <f t="shared" si="5"/>
        <v>1</v>
      </c>
      <c r="S22" s="846" t="e">
        <f t="shared" si="2"/>
        <v>#DIV/0!</v>
      </c>
    </row>
    <row r="23" spans="1:19" ht="18.75" customHeight="1">
      <c r="A23" s="497" t="s">
        <v>1</v>
      </c>
      <c r="B23" s="765" t="s">
        <v>18</v>
      </c>
      <c r="C23" s="855"/>
      <c r="D23" s="855"/>
      <c r="E23" s="855"/>
      <c r="F23" s="855"/>
      <c r="G23" s="855"/>
      <c r="H23" s="855"/>
      <c r="I23" s="855"/>
      <c r="J23" s="855"/>
      <c r="K23" s="855"/>
      <c r="L23" s="855"/>
      <c r="M23" s="855"/>
      <c r="N23" s="855"/>
      <c r="O23" s="855"/>
      <c r="P23" s="855"/>
      <c r="Q23" s="855"/>
      <c r="R23" s="856"/>
      <c r="S23" s="846"/>
    </row>
    <row r="24" spans="1:19" ht="27.75" customHeight="1">
      <c r="A24" s="497" t="s">
        <v>51</v>
      </c>
      <c r="B24" s="498" t="s">
        <v>637</v>
      </c>
      <c r="C24" s="835">
        <f>D24+E24</f>
        <v>675</v>
      </c>
      <c r="D24" s="835">
        <f>SUM(D25:D32)</f>
        <v>353</v>
      </c>
      <c r="E24" s="835">
        <f>SUM(E25:E32)</f>
        <v>322</v>
      </c>
      <c r="F24" s="835">
        <f>SUM(F25:F32)</f>
        <v>6</v>
      </c>
      <c r="G24" s="835">
        <f>SUM(G25:G32)</f>
        <v>0</v>
      </c>
      <c r="H24" s="835">
        <f>I24+Q24</f>
        <v>669</v>
      </c>
      <c r="I24" s="835">
        <f>SUM(J24:P24)</f>
        <v>409</v>
      </c>
      <c r="J24" s="835">
        <f aca="true" t="shared" si="7" ref="J24:R24">SUM(J25:J32)</f>
        <v>273</v>
      </c>
      <c r="K24" s="835">
        <f t="shared" si="7"/>
        <v>2</v>
      </c>
      <c r="L24" s="835">
        <f t="shared" si="7"/>
        <v>108</v>
      </c>
      <c r="M24" s="835">
        <f t="shared" si="7"/>
        <v>26</v>
      </c>
      <c r="N24" s="835">
        <f t="shared" si="7"/>
        <v>0</v>
      </c>
      <c r="O24" s="835">
        <f t="shared" si="7"/>
        <v>0</v>
      </c>
      <c r="P24" s="835">
        <f t="shared" si="7"/>
        <v>0</v>
      </c>
      <c r="Q24" s="835">
        <f t="shared" si="7"/>
        <v>260</v>
      </c>
      <c r="R24" s="835">
        <f t="shared" si="7"/>
        <v>394</v>
      </c>
      <c r="S24" s="836">
        <f t="shared" si="2"/>
        <v>0.6723716381418093</v>
      </c>
    </row>
    <row r="25" spans="1:19" ht="18.75" customHeight="1">
      <c r="A25" s="663" t="s">
        <v>51</v>
      </c>
      <c r="B25" s="857" t="s">
        <v>638</v>
      </c>
      <c r="C25" s="838">
        <f>D25+E25</f>
        <v>0</v>
      </c>
      <c r="D25" s="654">
        <v>0</v>
      </c>
      <c r="E25" s="654">
        <v>0</v>
      </c>
      <c r="F25" s="654">
        <v>0</v>
      </c>
      <c r="G25" s="654">
        <v>0</v>
      </c>
      <c r="H25" s="838">
        <f>I25+Q25</f>
        <v>0</v>
      </c>
      <c r="I25" s="838">
        <f aca="true" t="shared" si="8" ref="I25:I62">SUM(J25:P25)</f>
        <v>0</v>
      </c>
      <c r="J25" s="654">
        <v>0</v>
      </c>
      <c r="K25" s="654">
        <v>0</v>
      </c>
      <c r="L25" s="654">
        <v>0</v>
      </c>
      <c r="M25" s="654">
        <v>0</v>
      </c>
      <c r="N25" s="654">
        <v>0</v>
      </c>
      <c r="O25" s="654">
        <v>0</v>
      </c>
      <c r="P25" s="654">
        <v>0</v>
      </c>
      <c r="Q25" s="654">
        <v>0</v>
      </c>
      <c r="R25" s="838">
        <f aca="true" t="shared" si="9" ref="R25:R49">(C25-F25-J25-K25)+G25</f>
        <v>0</v>
      </c>
      <c r="S25" s="846" t="e">
        <f t="shared" si="2"/>
        <v>#DIV/0!</v>
      </c>
    </row>
    <row r="26" spans="1:19" ht="18.75" customHeight="1">
      <c r="A26" s="663" t="s">
        <v>52</v>
      </c>
      <c r="B26" s="651" t="s">
        <v>639</v>
      </c>
      <c r="C26" s="838">
        <f aca="true" t="shared" si="10" ref="C26:C49">D26+E26</f>
        <v>69</v>
      </c>
      <c r="D26" s="654">
        <v>37</v>
      </c>
      <c r="E26" s="654">
        <v>32</v>
      </c>
      <c r="F26" s="654">
        <v>0</v>
      </c>
      <c r="G26" s="654">
        <v>0</v>
      </c>
      <c r="H26" s="838">
        <f aca="true" t="shared" si="11" ref="H26:H62">I26+Q26</f>
        <v>69</v>
      </c>
      <c r="I26" s="838">
        <f t="shared" si="8"/>
        <v>45</v>
      </c>
      <c r="J26" s="654">
        <v>26</v>
      </c>
      <c r="K26" s="654">
        <v>0</v>
      </c>
      <c r="L26" s="654">
        <v>17</v>
      </c>
      <c r="M26" s="654">
        <v>2</v>
      </c>
      <c r="N26" s="654">
        <v>0</v>
      </c>
      <c r="O26" s="654"/>
      <c r="P26" s="654">
        <v>0</v>
      </c>
      <c r="Q26" s="654">
        <v>24</v>
      </c>
      <c r="R26" s="838">
        <f t="shared" si="9"/>
        <v>43</v>
      </c>
      <c r="S26" s="846">
        <f t="shared" si="2"/>
        <v>0.5777777777777777</v>
      </c>
    </row>
    <row r="27" spans="1:19" ht="18.75" customHeight="1">
      <c r="A27" s="663" t="s">
        <v>57</v>
      </c>
      <c r="B27" s="857" t="s">
        <v>640</v>
      </c>
      <c r="C27" s="838">
        <f t="shared" si="10"/>
        <v>68</v>
      </c>
      <c r="D27" s="654">
        <v>33</v>
      </c>
      <c r="E27" s="654">
        <v>35</v>
      </c>
      <c r="F27" s="654">
        <v>0</v>
      </c>
      <c r="G27" s="654">
        <v>0</v>
      </c>
      <c r="H27" s="838">
        <f t="shared" si="11"/>
        <v>68</v>
      </c>
      <c r="I27" s="838">
        <f t="shared" si="8"/>
        <v>43</v>
      </c>
      <c r="J27" s="654">
        <v>31</v>
      </c>
      <c r="K27" s="654">
        <v>1</v>
      </c>
      <c r="L27" s="654">
        <v>9</v>
      </c>
      <c r="M27" s="654">
        <v>2</v>
      </c>
      <c r="N27" s="654"/>
      <c r="O27" s="654"/>
      <c r="P27" s="654">
        <v>0</v>
      </c>
      <c r="Q27" s="654">
        <v>25</v>
      </c>
      <c r="R27" s="838">
        <f>(C27-F27-J27-K27)+G27</f>
        <v>36</v>
      </c>
      <c r="S27" s="846">
        <f t="shared" si="2"/>
        <v>0.7441860465116279</v>
      </c>
    </row>
    <row r="28" spans="1:19" ht="18.75" customHeight="1">
      <c r="A28" s="663" t="s">
        <v>72</v>
      </c>
      <c r="B28" s="651" t="s">
        <v>714</v>
      </c>
      <c r="C28" s="838">
        <f t="shared" si="10"/>
        <v>164</v>
      </c>
      <c r="D28" s="654">
        <v>92</v>
      </c>
      <c r="E28" s="654">
        <v>72</v>
      </c>
      <c r="F28" s="654">
        <v>2</v>
      </c>
      <c r="G28" s="654">
        <v>0</v>
      </c>
      <c r="H28" s="838">
        <f t="shared" si="11"/>
        <v>162</v>
      </c>
      <c r="I28" s="838">
        <f t="shared" si="8"/>
        <v>99</v>
      </c>
      <c r="J28" s="654">
        <v>59</v>
      </c>
      <c r="K28" s="654">
        <v>0</v>
      </c>
      <c r="L28" s="654">
        <v>30</v>
      </c>
      <c r="M28" s="654">
        <v>10</v>
      </c>
      <c r="N28" s="654"/>
      <c r="O28" s="654"/>
      <c r="P28" s="654">
        <v>0</v>
      </c>
      <c r="Q28" s="654">
        <v>63</v>
      </c>
      <c r="R28" s="838">
        <f t="shared" si="9"/>
        <v>103</v>
      </c>
      <c r="S28" s="846">
        <f t="shared" si="2"/>
        <v>0.5959595959595959</v>
      </c>
    </row>
    <row r="29" spans="1:19" ht="18.75" customHeight="1">
      <c r="A29" s="663" t="s">
        <v>73</v>
      </c>
      <c r="B29" s="651" t="s">
        <v>715</v>
      </c>
      <c r="C29" s="838">
        <f t="shared" si="10"/>
        <v>126</v>
      </c>
      <c r="D29" s="654">
        <v>78</v>
      </c>
      <c r="E29" s="654">
        <v>48</v>
      </c>
      <c r="F29" s="654">
        <v>0</v>
      </c>
      <c r="G29" s="654">
        <v>0</v>
      </c>
      <c r="H29" s="838">
        <f t="shared" si="11"/>
        <v>126</v>
      </c>
      <c r="I29" s="838">
        <f t="shared" si="8"/>
        <v>74</v>
      </c>
      <c r="J29" s="654">
        <v>43</v>
      </c>
      <c r="K29" s="654">
        <v>0</v>
      </c>
      <c r="L29" s="654">
        <v>19</v>
      </c>
      <c r="M29" s="654">
        <v>12</v>
      </c>
      <c r="N29" s="654"/>
      <c r="O29" s="654"/>
      <c r="P29" s="654">
        <v>0</v>
      </c>
      <c r="Q29" s="654">
        <v>52</v>
      </c>
      <c r="R29" s="838">
        <f t="shared" si="9"/>
        <v>83</v>
      </c>
      <c r="S29" s="846">
        <f t="shared" si="2"/>
        <v>0.581081081081081</v>
      </c>
    </row>
    <row r="30" spans="1:19" ht="18.75" customHeight="1">
      <c r="A30" s="663" t="s">
        <v>74</v>
      </c>
      <c r="B30" s="857" t="s">
        <v>716</v>
      </c>
      <c r="C30" s="838">
        <f t="shared" si="10"/>
        <v>85</v>
      </c>
      <c r="D30" s="654">
        <v>37</v>
      </c>
      <c r="E30" s="654">
        <v>48</v>
      </c>
      <c r="F30" s="654">
        <v>3</v>
      </c>
      <c r="G30" s="654">
        <v>0</v>
      </c>
      <c r="H30" s="838">
        <f t="shared" si="11"/>
        <v>82</v>
      </c>
      <c r="I30" s="838">
        <f t="shared" si="8"/>
        <v>51</v>
      </c>
      <c r="J30" s="654">
        <v>36</v>
      </c>
      <c r="K30" s="654">
        <v>1</v>
      </c>
      <c r="L30" s="654">
        <v>14</v>
      </c>
      <c r="M30" s="654">
        <v>0</v>
      </c>
      <c r="N30" s="654">
        <v>0</v>
      </c>
      <c r="O30" s="654">
        <v>0</v>
      </c>
      <c r="P30" s="654"/>
      <c r="Q30" s="654">
        <v>31</v>
      </c>
      <c r="R30" s="838">
        <f t="shared" si="9"/>
        <v>45</v>
      </c>
      <c r="S30" s="846">
        <f t="shared" si="2"/>
        <v>0.7254901960784313</v>
      </c>
    </row>
    <row r="31" spans="1:19" ht="18.75" customHeight="1">
      <c r="A31" s="663" t="s">
        <v>75</v>
      </c>
      <c r="B31" s="857" t="s">
        <v>643</v>
      </c>
      <c r="C31" s="838">
        <f t="shared" si="10"/>
        <v>143</v>
      </c>
      <c r="D31" s="654">
        <v>60</v>
      </c>
      <c r="E31" s="654">
        <v>83</v>
      </c>
      <c r="F31" s="654">
        <v>1</v>
      </c>
      <c r="G31" s="654">
        <v>0</v>
      </c>
      <c r="H31" s="838">
        <f t="shared" si="11"/>
        <v>142</v>
      </c>
      <c r="I31" s="838">
        <f t="shared" si="8"/>
        <v>93</v>
      </c>
      <c r="J31" s="654">
        <v>74</v>
      </c>
      <c r="K31" s="654">
        <v>0</v>
      </c>
      <c r="L31" s="654">
        <v>19</v>
      </c>
      <c r="M31" s="654">
        <v>0</v>
      </c>
      <c r="N31" s="654">
        <v>0</v>
      </c>
      <c r="O31" s="654">
        <v>0</v>
      </c>
      <c r="P31" s="654"/>
      <c r="Q31" s="654">
        <v>49</v>
      </c>
      <c r="R31" s="838">
        <f t="shared" si="9"/>
        <v>68</v>
      </c>
      <c r="S31" s="846">
        <f t="shared" si="2"/>
        <v>0.7956989247311828</v>
      </c>
    </row>
    <row r="32" spans="1:19" ht="18.75" customHeight="1">
      <c r="A32" s="663" t="s">
        <v>76</v>
      </c>
      <c r="B32" s="857" t="s">
        <v>726</v>
      </c>
      <c r="C32" s="838">
        <f t="shared" si="10"/>
        <v>20</v>
      </c>
      <c r="D32" s="654">
        <v>16</v>
      </c>
      <c r="E32" s="654">
        <v>4</v>
      </c>
      <c r="F32" s="654">
        <v>0</v>
      </c>
      <c r="G32" s="654">
        <v>0</v>
      </c>
      <c r="H32" s="838">
        <f t="shared" si="11"/>
        <v>20</v>
      </c>
      <c r="I32" s="838">
        <f t="shared" si="8"/>
        <v>4</v>
      </c>
      <c r="J32" s="654">
        <v>4</v>
      </c>
      <c r="K32" s="654">
        <v>0</v>
      </c>
      <c r="L32" s="654">
        <v>0</v>
      </c>
      <c r="M32" s="654">
        <v>0</v>
      </c>
      <c r="N32" s="654">
        <v>0</v>
      </c>
      <c r="O32" s="654">
        <v>0</v>
      </c>
      <c r="P32" s="654">
        <v>0</v>
      </c>
      <c r="Q32" s="654">
        <v>16</v>
      </c>
      <c r="R32" s="838">
        <f>(C32-F32-J32-K32)+G32</f>
        <v>16</v>
      </c>
      <c r="S32" s="846">
        <f t="shared" si="2"/>
        <v>1</v>
      </c>
    </row>
    <row r="33" spans="1:19" ht="18.75" customHeight="1">
      <c r="A33" s="497" t="s">
        <v>52</v>
      </c>
      <c r="B33" s="858" t="s">
        <v>644</v>
      </c>
      <c r="C33" s="835">
        <f>D33+E33</f>
        <v>411</v>
      </c>
      <c r="D33" s="835">
        <f>SUM(D34:D39)</f>
        <v>230</v>
      </c>
      <c r="E33" s="835">
        <f>SUM(E34:E39)</f>
        <v>181</v>
      </c>
      <c r="F33" s="835">
        <f>SUM(F34:F39)</f>
        <v>3</v>
      </c>
      <c r="G33" s="835">
        <f aca="true" t="shared" si="12" ref="G33:Q33">SUM(G34:G39)</f>
        <v>0</v>
      </c>
      <c r="H33" s="835">
        <f t="shared" si="12"/>
        <v>408</v>
      </c>
      <c r="I33" s="835">
        <f t="shared" si="12"/>
        <v>218</v>
      </c>
      <c r="J33" s="835">
        <f t="shared" si="12"/>
        <v>146</v>
      </c>
      <c r="K33" s="835">
        <f t="shared" si="12"/>
        <v>8</v>
      </c>
      <c r="L33" s="835">
        <f t="shared" si="12"/>
        <v>63</v>
      </c>
      <c r="M33" s="835">
        <f t="shared" si="12"/>
        <v>0</v>
      </c>
      <c r="N33" s="835">
        <f t="shared" si="12"/>
        <v>0</v>
      </c>
      <c r="O33" s="835">
        <f t="shared" si="12"/>
        <v>0</v>
      </c>
      <c r="P33" s="835">
        <f t="shared" si="12"/>
        <v>1</v>
      </c>
      <c r="Q33" s="835">
        <f t="shared" si="12"/>
        <v>190</v>
      </c>
      <c r="R33" s="835">
        <f>SUM(R34:R39)</f>
        <v>254</v>
      </c>
      <c r="S33" s="836">
        <f t="shared" si="2"/>
        <v>0.7064220183486238</v>
      </c>
    </row>
    <row r="34" spans="1:19" ht="18.75" customHeight="1">
      <c r="A34" s="663" t="s">
        <v>51</v>
      </c>
      <c r="B34" s="651" t="s">
        <v>645</v>
      </c>
      <c r="C34" s="859">
        <f t="shared" si="10"/>
        <v>34</v>
      </c>
      <c r="D34" s="841">
        <v>20</v>
      </c>
      <c r="E34" s="841">
        <v>14</v>
      </c>
      <c r="F34" s="841">
        <v>0</v>
      </c>
      <c r="G34" s="654"/>
      <c r="H34" s="838">
        <f t="shared" si="11"/>
        <v>34</v>
      </c>
      <c r="I34" s="838">
        <f t="shared" si="8"/>
        <v>16</v>
      </c>
      <c r="J34" s="841">
        <v>12</v>
      </c>
      <c r="K34" s="860">
        <v>0</v>
      </c>
      <c r="L34" s="841">
        <v>4</v>
      </c>
      <c r="M34" s="841">
        <v>0</v>
      </c>
      <c r="N34" s="841">
        <v>0</v>
      </c>
      <c r="O34" s="841">
        <v>0</v>
      </c>
      <c r="P34" s="841">
        <v>0</v>
      </c>
      <c r="Q34" s="842">
        <v>18</v>
      </c>
      <c r="R34" s="838">
        <f t="shared" si="9"/>
        <v>22</v>
      </c>
      <c r="S34" s="846">
        <f t="shared" si="2"/>
        <v>0.75</v>
      </c>
    </row>
    <row r="35" spans="1:19" ht="18.75" customHeight="1">
      <c r="A35" s="663" t="s">
        <v>52</v>
      </c>
      <c r="B35" s="651" t="s">
        <v>646</v>
      </c>
      <c r="C35" s="859">
        <f t="shared" si="10"/>
        <v>95</v>
      </c>
      <c r="D35" s="841">
        <v>61</v>
      </c>
      <c r="E35" s="841">
        <v>34</v>
      </c>
      <c r="F35" s="841">
        <v>1</v>
      </c>
      <c r="G35" s="654"/>
      <c r="H35" s="838">
        <f t="shared" si="11"/>
        <v>94</v>
      </c>
      <c r="I35" s="838">
        <f t="shared" si="8"/>
        <v>45</v>
      </c>
      <c r="J35" s="841">
        <v>22</v>
      </c>
      <c r="K35" s="841">
        <v>1</v>
      </c>
      <c r="L35" s="860">
        <v>22</v>
      </c>
      <c r="M35" s="841">
        <v>0</v>
      </c>
      <c r="N35" s="841">
        <v>0</v>
      </c>
      <c r="O35" s="841">
        <v>0</v>
      </c>
      <c r="P35" s="841">
        <v>0</v>
      </c>
      <c r="Q35" s="842">
        <v>49</v>
      </c>
      <c r="R35" s="838">
        <f t="shared" si="9"/>
        <v>71</v>
      </c>
      <c r="S35" s="846">
        <f t="shared" si="2"/>
        <v>0.5111111111111111</v>
      </c>
    </row>
    <row r="36" spans="1:19" ht="18.75" customHeight="1">
      <c r="A36" s="663" t="s">
        <v>57</v>
      </c>
      <c r="B36" s="651" t="s">
        <v>642</v>
      </c>
      <c r="C36" s="859">
        <f t="shared" si="10"/>
        <v>55</v>
      </c>
      <c r="D36" s="841">
        <v>26</v>
      </c>
      <c r="E36" s="841">
        <v>29</v>
      </c>
      <c r="F36" s="841">
        <v>1</v>
      </c>
      <c r="G36" s="654"/>
      <c r="H36" s="838">
        <f t="shared" si="11"/>
        <v>54</v>
      </c>
      <c r="I36" s="838">
        <f t="shared" si="8"/>
        <v>31</v>
      </c>
      <c r="J36" s="848">
        <v>24</v>
      </c>
      <c r="K36" s="841">
        <v>2</v>
      </c>
      <c r="L36" s="841">
        <v>5</v>
      </c>
      <c r="M36" s="841">
        <v>0</v>
      </c>
      <c r="N36" s="841">
        <v>0</v>
      </c>
      <c r="O36" s="841">
        <v>0</v>
      </c>
      <c r="P36" s="841">
        <v>0</v>
      </c>
      <c r="Q36" s="842">
        <v>23</v>
      </c>
      <c r="R36" s="838">
        <f t="shared" si="9"/>
        <v>28</v>
      </c>
      <c r="S36" s="846">
        <f t="shared" si="2"/>
        <v>0.8387096774193549</v>
      </c>
    </row>
    <row r="37" spans="1:19" ht="18.75" customHeight="1">
      <c r="A37" s="663" t="s">
        <v>72</v>
      </c>
      <c r="B37" s="651" t="s">
        <v>647</v>
      </c>
      <c r="C37" s="859">
        <f t="shared" si="10"/>
        <v>70</v>
      </c>
      <c r="D37" s="841">
        <v>34</v>
      </c>
      <c r="E37" s="841">
        <v>36</v>
      </c>
      <c r="F37" s="841">
        <v>0</v>
      </c>
      <c r="G37" s="654"/>
      <c r="H37" s="838">
        <f t="shared" si="11"/>
        <v>70</v>
      </c>
      <c r="I37" s="838">
        <f t="shared" si="8"/>
        <v>42</v>
      </c>
      <c r="J37" s="841">
        <v>29</v>
      </c>
      <c r="K37" s="841">
        <v>0</v>
      </c>
      <c r="L37" s="841">
        <v>13</v>
      </c>
      <c r="M37" s="841">
        <v>0</v>
      </c>
      <c r="N37" s="841">
        <v>0</v>
      </c>
      <c r="O37" s="841">
        <v>0</v>
      </c>
      <c r="P37" s="841">
        <v>0</v>
      </c>
      <c r="Q37" s="842">
        <v>28</v>
      </c>
      <c r="R37" s="838">
        <f t="shared" si="9"/>
        <v>41</v>
      </c>
      <c r="S37" s="846">
        <f t="shared" si="2"/>
        <v>0.6904761904761905</v>
      </c>
    </row>
    <row r="38" spans="1:19" ht="18.75" customHeight="1">
      <c r="A38" s="663" t="s">
        <v>73</v>
      </c>
      <c r="B38" s="651" t="s">
        <v>672</v>
      </c>
      <c r="C38" s="859">
        <f t="shared" si="10"/>
        <v>74</v>
      </c>
      <c r="D38" s="841">
        <v>42</v>
      </c>
      <c r="E38" s="841">
        <v>32</v>
      </c>
      <c r="F38" s="841">
        <v>1</v>
      </c>
      <c r="G38" s="654"/>
      <c r="H38" s="838">
        <f t="shared" si="11"/>
        <v>73</v>
      </c>
      <c r="I38" s="838">
        <f t="shared" si="8"/>
        <v>35</v>
      </c>
      <c r="J38" s="841">
        <v>27</v>
      </c>
      <c r="K38" s="841">
        <v>1</v>
      </c>
      <c r="L38" s="841">
        <v>7</v>
      </c>
      <c r="M38" s="841">
        <v>0</v>
      </c>
      <c r="N38" s="841">
        <v>0</v>
      </c>
      <c r="O38" s="841">
        <v>0</v>
      </c>
      <c r="P38" s="841">
        <v>0</v>
      </c>
      <c r="Q38" s="842">
        <v>38</v>
      </c>
      <c r="R38" s="838">
        <f t="shared" si="9"/>
        <v>45</v>
      </c>
      <c r="S38" s="846">
        <f t="shared" si="2"/>
        <v>0.8</v>
      </c>
    </row>
    <row r="39" spans="1:19" ht="18.75" customHeight="1">
      <c r="A39" s="663" t="s">
        <v>74</v>
      </c>
      <c r="B39" s="857" t="s">
        <v>648</v>
      </c>
      <c r="C39" s="859">
        <f t="shared" si="10"/>
        <v>83</v>
      </c>
      <c r="D39" s="841">
        <v>47</v>
      </c>
      <c r="E39" s="841">
        <v>36</v>
      </c>
      <c r="F39" s="841">
        <v>0</v>
      </c>
      <c r="G39" s="654"/>
      <c r="H39" s="838">
        <f t="shared" si="11"/>
        <v>83</v>
      </c>
      <c r="I39" s="838">
        <f t="shared" si="8"/>
        <v>49</v>
      </c>
      <c r="J39" s="841">
        <v>32</v>
      </c>
      <c r="K39" s="841">
        <v>4</v>
      </c>
      <c r="L39" s="841">
        <v>12</v>
      </c>
      <c r="M39" s="841">
        <v>0</v>
      </c>
      <c r="N39" s="841">
        <v>0</v>
      </c>
      <c r="O39" s="841">
        <v>0</v>
      </c>
      <c r="P39" s="841">
        <v>1</v>
      </c>
      <c r="Q39" s="842">
        <v>34</v>
      </c>
      <c r="R39" s="838">
        <f t="shared" si="9"/>
        <v>47</v>
      </c>
      <c r="S39" s="846">
        <f t="shared" si="2"/>
        <v>0.7346938775510204</v>
      </c>
    </row>
    <row r="40" spans="1:19" ht="18.75" customHeight="1">
      <c r="A40" s="497" t="s">
        <v>57</v>
      </c>
      <c r="B40" s="858" t="s">
        <v>669</v>
      </c>
      <c r="C40" s="861">
        <f>D40+E40</f>
        <v>712</v>
      </c>
      <c r="D40" s="835">
        <f aca="true" t="shared" si="13" ref="D40:R40">SUM(D41:D46)</f>
        <v>429</v>
      </c>
      <c r="E40" s="835">
        <f t="shared" si="13"/>
        <v>283</v>
      </c>
      <c r="F40" s="835">
        <f t="shared" si="13"/>
        <v>0</v>
      </c>
      <c r="G40" s="835">
        <f t="shared" si="13"/>
        <v>0</v>
      </c>
      <c r="H40" s="835">
        <f t="shared" si="13"/>
        <v>712</v>
      </c>
      <c r="I40" s="835">
        <f t="shared" si="13"/>
        <v>389</v>
      </c>
      <c r="J40" s="835">
        <f t="shared" si="13"/>
        <v>265</v>
      </c>
      <c r="K40" s="835">
        <f t="shared" si="13"/>
        <v>0</v>
      </c>
      <c r="L40" s="835">
        <f t="shared" si="13"/>
        <v>111</v>
      </c>
      <c r="M40" s="835">
        <f t="shared" si="13"/>
        <v>7</v>
      </c>
      <c r="N40" s="835">
        <f t="shared" si="13"/>
        <v>0</v>
      </c>
      <c r="O40" s="835">
        <f t="shared" si="13"/>
        <v>0</v>
      </c>
      <c r="P40" s="835">
        <f t="shared" si="13"/>
        <v>6</v>
      </c>
      <c r="Q40" s="835">
        <f t="shared" si="13"/>
        <v>323</v>
      </c>
      <c r="R40" s="835">
        <f t="shared" si="13"/>
        <v>447</v>
      </c>
      <c r="S40" s="836">
        <f t="shared" si="2"/>
        <v>0.6812339331619537</v>
      </c>
    </row>
    <row r="41" spans="1:19" ht="18.75" customHeight="1">
      <c r="A41" s="663" t="s">
        <v>51</v>
      </c>
      <c r="B41" s="862" t="s">
        <v>649</v>
      </c>
      <c r="C41" s="838">
        <f t="shared" si="10"/>
        <v>23</v>
      </c>
      <c r="D41" s="654">
        <v>13</v>
      </c>
      <c r="E41" s="654">
        <v>10</v>
      </c>
      <c r="F41" s="654"/>
      <c r="G41" s="863">
        <v>0</v>
      </c>
      <c r="H41" s="838">
        <f aca="true" t="shared" si="14" ref="H41:H46">I41+Q41</f>
        <v>23</v>
      </c>
      <c r="I41" s="838">
        <f t="shared" si="8"/>
        <v>13</v>
      </c>
      <c r="J41" s="654">
        <v>13</v>
      </c>
      <c r="K41" s="654"/>
      <c r="L41" s="654"/>
      <c r="M41" s="654"/>
      <c r="N41" s="654"/>
      <c r="O41" s="654"/>
      <c r="P41" s="654"/>
      <c r="Q41" s="654">
        <v>10</v>
      </c>
      <c r="R41" s="838">
        <f t="shared" si="9"/>
        <v>10</v>
      </c>
      <c r="S41" s="846">
        <f t="shared" si="2"/>
        <v>1</v>
      </c>
    </row>
    <row r="42" spans="1:19" ht="18.75" customHeight="1">
      <c r="A42" s="663" t="s">
        <v>52</v>
      </c>
      <c r="B42" s="862" t="s">
        <v>650</v>
      </c>
      <c r="C42" s="838">
        <f t="shared" si="10"/>
        <v>116</v>
      </c>
      <c r="D42" s="654">
        <v>75</v>
      </c>
      <c r="E42" s="654">
        <v>41</v>
      </c>
      <c r="F42" s="654"/>
      <c r="G42" s="863">
        <v>0</v>
      </c>
      <c r="H42" s="838">
        <f t="shared" si="14"/>
        <v>116</v>
      </c>
      <c r="I42" s="838">
        <f>J42+K42+L42+M42+N42+O42+P42</f>
        <v>55</v>
      </c>
      <c r="J42" s="654">
        <v>36</v>
      </c>
      <c r="K42" s="654"/>
      <c r="L42" s="654">
        <v>17</v>
      </c>
      <c r="M42" s="654"/>
      <c r="N42" s="654"/>
      <c r="O42" s="654"/>
      <c r="P42" s="654">
        <v>2</v>
      </c>
      <c r="Q42" s="654">
        <v>61</v>
      </c>
      <c r="R42" s="838">
        <f t="shared" si="9"/>
        <v>80</v>
      </c>
      <c r="S42" s="846">
        <f t="shared" si="2"/>
        <v>0.6545454545454545</v>
      </c>
    </row>
    <row r="43" spans="1:19" ht="18.75" customHeight="1">
      <c r="A43" s="663" t="s">
        <v>57</v>
      </c>
      <c r="B43" s="862" t="s">
        <v>651</v>
      </c>
      <c r="C43" s="838">
        <f t="shared" si="10"/>
        <v>137</v>
      </c>
      <c r="D43" s="654">
        <v>60</v>
      </c>
      <c r="E43" s="654">
        <v>77</v>
      </c>
      <c r="F43" s="654"/>
      <c r="G43" s="863">
        <v>0</v>
      </c>
      <c r="H43" s="838">
        <f t="shared" si="14"/>
        <v>137</v>
      </c>
      <c r="I43" s="838">
        <f>J43+K43+L43+M43+N43+O43+P43</f>
        <v>85</v>
      </c>
      <c r="J43" s="654">
        <v>76</v>
      </c>
      <c r="K43" s="654"/>
      <c r="L43" s="654">
        <v>8</v>
      </c>
      <c r="M43" s="654"/>
      <c r="N43" s="654"/>
      <c r="O43" s="654"/>
      <c r="P43" s="654">
        <v>1</v>
      </c>
      <c r="Q43" s="654">
        <v>52</v>
      </c>
      <c r="R43" s="838">
        <f t="shared" si="9"/>
        <v>61</v>
      </c>
      <c r="S43" s="846">
        <f t="shared" si="2"/>
        <v>0.8941176470588236</v>
      </c>
    </row>
    <row r="44" spans="1:19" ht="18.75" customHeight="1">
      <c r="A44" s="663" t="s">
        <v>72</v>
      </c>
      <c r="B44" s="862" t="s">
        <v>652</v>
      </c>
      <c r="C44" s="838">
        <f t="shared" si="10"/>
        <v>107</v>
      </c>
      <c r="D44" s="654">
        <v>72</v>
      </c>
      <c r="E44" s="654">
        <v>35</v>
      </c>
      <c r="F44" s="654"/>
      <c r="G44" s="863">
        <v>0</v>
      </c>
      <c r="H44" s="838">
        <f t="shared" si="14"/>
        <v>107</v>
      </c>
      <c r="I44" s="838">
        <f>J44+K44+L44+M44+N44+O44+P44</f>
        <v>61</v>
      </c>
      <c r="J44" s="654">
        <v>38</v>
      </c>
      <c r="K44" s="654"/>
      <c r="L44" s="654">
        <v>23</v>
      </c>
      <c r="M44" s="654"/>
      <c r="N44" s="654"/>
      <c r="O44" s="654"/>
      <c r="P44" s="654"/>
      <c r="Q44" s="654">
        <v>46</v>
      </c>
      <c r="R44" s="838">
        <f t="shared" si="9"/>
        <v>69</v>
      </c>
      <c r="S44" s="846">
        <f t="shared" si="2"/>
        <v>0.6229508196721312</v>
      </c>
    </row>
    <row r="45" spans="1:19" ht="18.75" customHeight="1">
      <c r="A45" s="663" t="s">
        <v>73</v>
      </c>
      <c r="B45" s="862" t="s">
        <v>661</v>
      </c>
      <c r="C45" s="838">
        <f t="shared" si="10"/>
        <v>160</v>
      </c>
      <c r="D45" s="654">
        <v>114</v>
      </c>
      <c r="E45" s="654">
        <v>46</v>
      </c>
      <c r="F45" s="654"/>
      <c r="G45" s="863">
        <v>0</v>
      </c>
      <c r="H45" s="838">
        <f t="shared" si="14"/>
        <v>160</v>
      </c>
      <c r="I45" s="838">
        <f>J45+K45+L45+M45+N45+O45+P45</f>
        <v>72</v>
      </c>
      <c r="J45" s="654">
        <v>38</v>
      </c>
      <c r="K45" s="654"/>
      <c r="L45" s="654">
        <v>29</v>
      </c>
      <c r="M45" s="654">
        <v>4</v>
      </c>
      <c r="N45" s="654"/>
      <c r="O45" s="654"/>
      <c r="P45" s="654">
        <v>1</v>
      </c>
      <c r="Q45" s="654">
        <v>88</v>
      </c>
      <c r="R45" s="838">
        <f t="shared" si="9"/>
        <v>122</v>
      </c>
      <c r="S45" s="846">
        <f t="shared" si="2"/>
        <v>0.5277777777777778</v>
      </c>
    </row>
    <row r="46" spans="1:19" ht="18.75" customHeight="1">
      <c r="A46" s="663" t="s">
        <v>74</v>
      </c>
      <c r="B46" s="26" t="s">
        <v>641</v>
      </c>
      <c r="C46" s="838">
        <f t="shared" si="10"/>
        <v>169</v>
      </c>
      <c r="D46" s="654">
        <v>95</v>
      </c>
      <c r="E46" s="654">
        <v>74</v>
      </c>
      <c r="F46" s="654"/>
      <c r="G46" s="863">
        <v>0</v>
      </c>
      <c r="H46" s="838">
        <f t="shared" si="14"/>
        <v>169</v>
      </c>
      <c r="I46" s="838">
        <f>J46+K46+L46+M46+N46+O46+P46</f>
        <v>103</v>
      </c>
      <c r="J46" s="654">
        <v>64</v>
      </c>
      <c r="K46" s="654"/>
      <c r="L46" s="654">
        <v>34</v>
      </c>
      <c r="M46" s="654">
        <v>3</v>
      </c>
      <c r="N46" s="654"/>
      <c r="O46" s="654"/>
      <c r="P46" s="654">
        <v>2</v>
      </c>
      <c r="Q46" s="654">
        <v>66</v>
      </c>
      <c r="R46" s="838">
        <f t="shared" si="9"/>
        <v>105</v>
      </c>
      <c r="S46" s="846">
        <f t="shared" si="2"/>
        <v>0.6213592233009708</v>
      </c>
    </row>
    <row r="47" spans="1:19" ht="18.75" customHeight="1">
      <c r="A47" s="497" t="s">
        <v>72</v>
      </c>
      <c r="B47" s="858" t="s">
        <v>655</v>
      </c>
      <c r="C47" s="835">
        <f>D47+E47</f>
        <v>269</v>
      </c>
      <c r="D47" s="835">
        <f aca="true" t="shared" si="15" ref="D47:J47">SUM(D48:D51)</f>
        <v>124</v>
      </c>
      <c r="E47" s="835">
        <f t="shared" si="15"/>
        <v>145</v>
      </c>
      <c r="F47" s="835">
        <f t="shared" si="15"/>
        <v>0</v>
      </c>
      <c r="G47" s="835">
        <f t="shared" si="15"/>
        <v>0</v>
      </c>
      <c r="H47" s="835">
        <f t="shared" si="15"/>
        <v>269</v>
      </c>
      <c r="I47" s="835">
        <f t="shared" si="15"/>
        <v>169</v>
      </c>
      <c r="J47" s="835">
        <f t="shared" si="15"/>
        <v>127</v>
      </c>
      <c r="K47" s="835">
        <f aca="true" t="shared" si="16" ref="K47:R47">SUM(K48:K51)</f>
        <v>3</v>
      </c>
      <c r="L47" s="835">
        <f t="shared" si="16"/>
        <v>36</v>
      </c>
      <c r="M47" s="835">
        <f t="shared" si="16"/>
        <v>3</v>
      </c>
      <c r="N47" s="835">
        <f t="shared" si="16"/>
        <v>0</v>
      </c>
      <c r="O47" s="835">
        <f t="shared" si="16"/>
        <v>0</v>
      </c>
      <c r="P47" s="835">
        <f t="shared" si="16"/>
        <v>0</v>
      </c>
      <c r="Q47" s="835">
        <f t="shared" si="16"/>
        <v>100</v>
      </c>
      <c r="R47" s="835">
        <f t="shared" si="16"/>
        <v>139</v>
      </c>
      <c r="S47" s="836">
        <f t="shared" si="2"/>
        <v>0.7692307692307693</v>
      </c>
    </row>
    <row r="48" spans="1:19" ht="18.75" customHeight="1">
      <c r="A48" s="663" t="s">
        <v>51</v>
      </c>
      <c r="B48" s="777" t="s">
        <v>664</v>
      </c>
      <c r="C48" s="864">
        <f t="shared" si="10"/>
        <v>54</v>
      </c>
      <c r="D48" s="865">
        <v>15</v>
      </c>
      <c r="E48" s="865">
        <v>39</v>
      </c>
      <c r="F48" s="865"/>
      <c r="G48" s="840"/>
      <c r="H48" s="864">
        <f>I48+Q48</f>
        <v>54</v>
      </c>
      <c r="I48" s="864">
        <f>J48+K48+L48+M48+N48+O48+P48</f>
        <v>43</v>
      </c>
      <c r="J48" s="865">
        <v>38</v>
      </c>
      <c r="K48" s="865">
        <v>1</v>
      </c>
      <c r="L48" s="865">
        <v>4</v>
      </c>
      <c r="M48" s="865"/>
      <c r="N48" s="865"/>
      <c r="O48" s="865"/>
      <c r="P48" s="866"/>
      <c r="Q48" s="880">
        <v>11</v>
      </c>
      <c r="R48" s="864">
        <f t="shared" si="9"/>
        <v>15</v>
      </c>
      <c r="S48" s="867">
        <f t="shared" si="2"/>
        <v>0.9069767441860465</v>
      </c>
    </row>
    <row r="49" spans="1:19" ht="18.75" customHeight="1">
      <c r="A49" s="663" t="s">
        <v>52</v>
      </c>
      <c r="B49" s="777" t="s">
        <v>657</v>
      </c>
      <c r="C49" s="864">
        <f t="shared" si="10"/>
        <v>93</v>
      </c>
      <c r="D49" s="865">
        <v>41</v>
      </c>
      <c r="E49" s="865">
        <v>52</v>
      </c>
      <c r="F49" s="865"/>
      <c r="G49" s="840"/>
      <c r="H49" s="864">
        <f>I49+Q49</f>
        <v>93</v>
      </c>
      <c r="I49" s="864">
        <f>J49+K49+L49+M49+N49+O49+P49</f>
        <v>62</v>
      </c>
      <c r="J49" s="865">
        <v>41</v>
      </c>
      <c r="K49" s="865">
        <v>2</v>
      </c>
      <c r="L49" s="865">
        <v>17</v>
      </c>
      <c r="M49" s="865">
        <v>2</v>
      </c>
      <c r="N49" s="865"/>
      <c r="O49" s="865"/>
      <c r="P49" s="866"/>
      <c r="Q49" s="880">
        <v>31</v>
      </c>
      <c r="R49" s="864">
        <f t="shared" si="9"/>
        <v>50</v>
      </c>
      <c r="S49" s="867">
        <f t="shared" si="2"/>
        <v>0.6935483870967742</v>
      </c>
    </row>
    <row r="50" spans="1:19" ht="18.75" customHeight="1">
      <c r="A50" s="663" t="s">
        <v>57</v>
      </c>
      <c r="B50" s="777" t="s">
        <v>653</v>
      </c>
      <c r="C50" s="864">
        <f aca="true" t="shared" si="17" ref="C50:C59">D50+E50</f>
        <v>107</v>
      </c>
      <c r="D50" s="865">
        <v>56</v>
      </c>
      <c r="E50" s="865">
        <v>51</v>
      </c>
      <c r="F50" s="865"/>
      <c r="G50" s="840"/>
      <c r="H50" s="864">
        <f>I50+Q50</f>
        <v>107</v>
      </c>
      <c r="I50" s="864">
        <f>J50+K50+L50+M50+N50+O50+P50</f>
        <v>60</v>
      </c>
      <c r="J50" s="865">
        <v>48</v>
      </c>
      <c r="K50" s="865"/>
      <c r="L50" s="865">
        <v>11</v>
      </c>
      <c r="M50" s="865">
        <v>1</v>
      </c>
      <c r="N50" s="865"/>
      <c r="O50" s="865"/>
      <c r="P50" s="866"/>
      <c r="Q50" s="880">
        <v>47</v>
      </c>
      <c r="R50" s="864">
        <f>(C50-F50-J50-K50)+G50</f>
        <v>59</v>
      </c>
      <c r="S50" s="867">
        <f t="shared" si="2"/>
        <v>0.8</v>
      </c>
    </row>
    <row r="51" spans="1:19" ht="18.75" customHeight="1">
      <c r="A51" s="868" t="s">
        <v>72</v>
      </c>
      <c r="B51" s="777" t="s">
        <v>728</v>
      </c>
      <c r="C51" s="864">
        <f t="shared" si="17"/>
        <v>15</v>
      </c>
      <c r="D51" s="654">
        <v>12</v>
      </c>
      <c r="E51" s="865">
        <v>3</v>
      </c>
      <c r="F51" s="865"/>
      <c r="G51" s="840"/>
      <c r="H51" s="864">
        <f>I51+Q51</f>
        <v>15</v>
      </c>
      <c r="I51" s="864">
        <f>J51+K51+L51+M51+N51+O51+P51</f>
        <v>4</v>
      </c>
      <c r="J51" s="654"/>
      <c r="K51" s="654"/>
      <c r="L51" s="654">
        <v>4</v>
      </c>
      <c r="M51" s="654"/>
      <c r="N51" s="654"/>
      <c r="O51" s="654"/>
      <c r="P51" s="654"/>
      <c r="Q51" s="880">
        <v>11</v>
      </c>
      <c r="R51" s="864">
        <f>(C51-F51-J51-K51)+G51</f>
        <v>15</v>
      </c>
      <c r="S51" s="867">
        <f t="shared" si="2"/>
        <v>0</v>
      </c>
    </row>
    <row r="52" spans="1:19" ht="18.75" customHeight="1">
      <c r="A52" s="497" t="s">
        <v>73</v>
      </c>
      <c r="B52" s="858" t="s">
        <v>658</v>
      </c>
      <c r="C52" s="861">
        <f t="shared" si="17"/>
        <v>494</v>
      </c>
      <c r="D52" s="861">
        <f>SUM(D53:D56)</f>
        <v>183</v>
      </c>
      <c r="E52" s="861">
        <f>SUM(E53:E56)</f>
        <v>311</v>
      </c>
      <c r="F52" s="861">
        <f>SUM(F53:F56)</f>
        <v>2</v>
      </c>
      <c r="G52" s="861">
        <f>SUM(G53:G56)</f>
        <v>0</v>
      </c>
      <c r="H52" s="861">
        <f>I52+Q52</f>
        <v>492</v>
      </c>
      <c r="I52" s="861">
        <f>SUM(J52:P52)</f>
        <v>345</v>
      </c>
      <c r="J52" s="861">
        <f aca="true" t="shared" si="18" ref="J52:R52">SUM(J53:J56)</f>
        <v>269</v>
      </c>
      <c r="K52" s="861">
        <f t="shared" si="18"/>
        <v>2</v>
      </c>
      <c r="L52" s="861">
        <f t="shared" si="18"/>
        <v>74</v>
      </c>
      <c r="M52" s="861">
        <f t="shared" si="18"/>
        <v>0</v>
      </c>
      <c r="N52" s="861">
        <f t="shared" si="18"/>
        <v>0</v>
      </c>
      <c r="O52" s="861">
        <f t="shared" si="18"/>
        <v>0</v>
      </c>
      <c r="P52" s="861">
        <f t="shared" si="18"/>
        <v>0</v>
      </c>
      <c r="Q52" s="861">
        <f t="shared" si="18"/>
        <v>147</v>
      </c>
      <c r="R52" s="861">
        <f t="shared" si="18"/>
        <v>221</v>
      </c>
      <c r="S52" s="836">
        <f t="shared" si="2"/>
        <v>0.7855072463768116</v>
      </c>
    </row>
    <row r="53" spans="1:19" ht="18.75" customHeight="1">
      <c r="A53" s="663" t="s">
        <v>51</v>
      </c>
      <c r="B53" s="869" t="s">
        <v>659</v>
      </c>
      <c r="C53" s="838">
        <f t="shared" si="17"/>
        <v>77</v>
      </c>
      <c r="D53" s="841">
        <v>25</v>
      </c>
      <c r="E53" s="841">
        <v>52</v>
      </c>
      <c r="F53" s="841"/>
      <c r="G53" s="842">
        <v>0</v>
      </c>
      <c r="H53" s="838">
        <f t="shared" si="11"/>
        <v>77</v>
      </c>
      <c r="I53" s="838">
        <f t="shared" si="8"/>
        <v>55</v>
      </c>
      <c r="J53" s="841">
        <v>41</v>
      </c>
      <c r="K53" s="841">
        <v>1</v>
      </c>
      <c r="L53" s="841">
        <v>13</v>
      </c>
      <c r="M53" s="841">
        <v>0</v>
      </c>
      <c r="N53" s="870"/>
      <c r="O53" s="870"/>
      <c r="P53" s="870"/>
      <c r="Q53" s="871">
        <v>22</v>
      </c>
      <c r="R53" s="838">
        <f>(C53-F53-J53-K53)+G53</f>
        <v>35</v>
      </c>
      <c r="S53" s="846">
        <f t="shared" si="2"/>
        <v>0.7636363636363637</v>
      </c>
    </row>
    <row r="54" spans="1:19" ht="18.75" customHeight="1">
      <c r="A54" s="663" t="s">
        <v>52</v>
      </c>
      <c r="B54" s="869" t="s">
        <v>660</v>
      </c>
      <c r="C54" s="838">
        <f t="shared" si="17"/>
        <v>147</v>
      </c>
      <c r="D54" s="841">
        <v>45</v>
      </c>
      <c r="E54" s="841">
        <v>102</v>
      </c>
      <c r="F54" s="841"/>
      <c r="G54" s="842"/>
      <c r="H54" s="838">
        <f t="shared" si="11"/>
        <v>147</v>
      </c>
      <c r="I54" s="838">
        <f t="shared" si="8"/>
        <v>109</v>
      </c>
      <c r="J54" s="841">
        <v>88</v>
      </c>
      <c r="K54" s="841"/>
      <c r="L54" s="841">
        <v>21</v>
      </c>
      <c r="M54" s="841"/>
      <c r="N54" s="870"/>
      <c r="O54" s="870"/>
      <c r="P54" s="870"/>
      <c r="Q54" s="871">
        <v>38</v>
      </c>
      <c r="R54" s="838">
        <f>(C54-F54-J54-K54)+G54</f>
        <v>59</v>
      </c>
      <c r="S54" s="846">
        <f t="shared" si="2"/>
        <v>0.8073394495412844</v>
      </c>
    </row>
    <row r="55" spans="1:19" ht="18.75" customHeight="1">
      <c r="A55" s="663" t="s">
        <v>57</v>
      </c>
      <c r="B55" s="869" t="s">
        <v>654</v>
      </c>
      <c r="C55" s="838">
        <f t="shared" si="17"/>
        <v>131</v>
      </c>
      <c r="D55" s="841">
        <v>53</v>
      </c>
      <c r="E55" s="841">
        <v>78</v>
      </c>
      <c r="F55" s="841"/>
      <c r="G55" s="842">
        <v>0</v>
      </c>
      <c r="H55" s="838">
        <f t="shared" si="11"/>
        <v>131</v>
      </c>
      <c r="I55" s="838">
        <f t="shared" si="8"/>
        <v>93</v>
      </c>
      <c r="J55" s="841">
        <v>73</v>
      </c>
      <c r="K55" s="841">
        <v>1</v>
      </c>
      <c r="L55" s="841">
        <v>19</v>
      </c>
      <c r="M55" s="841"/>
      <c r="N55" s="870"/>
      <c r="O55" s="870"/>
      <c r="P55" s="870"/>
      <c r="Q55" s="871">
        <v>38</v>
      </c>
      <c r="R55" s="838">
        <f>(C55-F55-J55-K55)+G55</f>
        <v>57</v>
      </c>
      <c r="S55" s="846">
        <f t="shared" si="2"/>
        <v>0.7956989247311828</v>
      </c>
    </row>
    <row r="56" spans="1:19" ht="18.75" customHeight="1">
      <c r="A56" s="663" t="s">
        <v>72</v>
      </c>
      <c r="B56" s="869" t="s">
        <v>662</v>
      </c>
      <c r="C56" s="838">
        <f t="shared" si="17"/>
        <v>139</v>
      </c>
      <c r="D56" s="841">
        <v>60</v>
      </c>
      <c r="E56" s="841">
        <v>79</v>
      </c>
      <c r="F56" s="841">
        <v>2</v>
      </c>
      <c r="G56" s="842">
        <v>0</v>
      </c>
      <c r="H56" s="838">
        <f t="shared" si="11"/>
        <v>137</v>
      </c>
      <c r="I56" s="838">
        <f t="shared" si="8"/>
        <v>88</v>
      </c>
      <c r="J56" s="841">
        <v>67</v>
      </c>
      <c r="K56" s="841"/>
      <c r="L56" s="841">
        <v>21</v>
      </c>
      <c r="M56" s="841"/>
      <c r="N56" s="870"/>
      <c r="O56" s="870"/>
      <c r="P56" s="870"/>
      <c r="Q56" s="872">
        <v>49</v>
      </c>
      <c r="R56" s="838">
        <f>(C56-F56-J56-K56)+G56</f>
        <v>70</v>
      </c>
      <c r="S56" s="846">
        <f t="shared" si="2"/>
        <v>0.7613636363636364</v>
      </c>
    </row>
    <row r="57" spans="1:19" ht="18.75" customHeight="1">
      <c r="A57" s="497" t="s">
        <v>74</v>
      </c>
      <c r="B57" s="858" t="s">
        <v>663</v>
      </c>
      <c r="C57" s="835">
        <f t="shared" si="17"/>
        <v>105</v>
      </c>
      <c r="D57" s="835">
        <f>SUM(D58:D59)</f>
        <v>63</v>
      </c>
      <c r="E57" s="835">
        <f>SUM(E58:E59)</f>
        <v>42</v>
      </c>
      <c r="F57" s="835">
        <f>SUM(F58:F59)</f>
        <v>0</v>
      </c>
      <c r="G57" s="835">
        <f>SUM(G58:G59)</f>
        <v>0</v>
      </c>
      <c r="H57" s="835">
        <f>I57+Q57</f>
        <v>105</v>
      </c>
      <c r="I57" s="835">
        <f aca="true" t="shared" si="19" ref="I57:R57">SUM(I58:I59)</f>
        <v>56</v>
      </c>
      <c r="J57" s="835">
        <f t="shared" si="19"/>
        <v>38</v>
      </c>
      <c r="K57" s="835">
        <f t="shared" si="19"/>
        <v>0</v>
      </c>
      <c r="L57" s="835">
        <f t="shared" si="19"/>
        <v>18</v>
      </c>
      <c r="M57" s="835">
        <f t="shared" si="19"/>
        <v>0</v>
      </c>
      <c r="N57" s="835">
        <f t="shared" si="19"/>
        <v>0</v>
      </c>
      <c r="O57" s="835">
        <f t="shared" si="19"/>
        <v>0</v>
      </c>
      <c r="P57" s="835">
        <f t="shared" si="19"/>
        <v>0</v>
      </c>
      <c r="Q57" s="835">
        <f t="shared" si="19"/>
        <v>49</v>
      </c>
      <c r="R57" s="835">
        <f t="shared" si="19"/>
        <v>67</v>
      </c>
      <c r="S57" s="836">
        <f t="shared" si="2"/>
        <v>0.6785714285714286</v>
      </c>
    </row>
    <row r="58" spans="1:19" ht="18.75" customHeight="1">
      <c r="A58" s="663" t="s">
        <v>51</v>
      </c>
      <c r="B58" s="777" t="s">
        <v>656</v>
      </c>
      <c r="C58" s="864">
        <f t="shared" si="17"/>
        <v>39</v>
      </c>
      <c r="D58" s="841">
        <v>25</v>
      </c>
      <c r="E58" s="841">
        <v>14</v>
      </c>
      <c r="F58" s="844"/>
      <c r="G58" s="841">
        <v>0</v>
      </c>
      <c r="H58" s="864">
        <f t="shared" si="11"/>
        <v>39</v>
      </c>
      <c r="I58" s="864">
        <f t="shared" si="8"/>
        <v>21</v>
      </c>
      <c r="J58" s="841">
        <v>12</v>
      </c>
      <c r="K58" s="841">
        <v>0</v>
      </c>
      <c r="L58" s="841">
        <v>9</v>
      </c>
      <c r="M58" s="841">
        <v>0</v>
      </c>
      <c r="N58" s="870">
        <v>0</v>
      </c>
      <c r="O58" s="870">
        <v>0</v>
      </c>
      <c r="P58" s="870">
        <v>0</v>
      </c>
      <c r="Q58" s="872">
        <v>18</v>
      </c>
      <c r="R58" s="864">
        <f>(C58-F58-J58-K58)+G58</f>
        <v>27</v>
      </c>
      <c r="S58" s="867">
        <f t="shared" si="2"/>
        <v>0.5714285714285714</v>
      </c>
    </row>
    <row r="59" spans="1:19" ht="23.25" customHeight="1">
      <c r="A59" s="663" t="s">
        <v>52</v>
      </c>
      <c r="B59" s="777" t="s">
        <v>665</v>
      </c>
      <c r="C59" s="864">
        <f t="shared" si="17"/>
        <v>66</v>
      </c>
      <c r="D59" s="841">
        <v>38</v>
      </c>
      <c r="E59" s="841">
        <v>28</v>
      </c>
      <c r="F59" s="844"/>
      <c r="G59" s="841">
        <v>0</v>
      </c>
      <c r="H59" s="864">
        <f t="shared" si="11"/>
        <v>66</v>
      </c>
      <c r="I59" s="864">
        <f t="shared" si="8"/>
        <v>35</v>
      </c>
      <c r="J59" s="841">
        <v>26</v>
      </c>
      <c r="K59" s="841">
        <v>0</v>
      </c>
      <c r="L59" s="841">
        <v>9</v>
      </c>
      <c r="M59" s="841">
        <v>0</v>
      </c>
      <c r="N59" s="870">
        <v>0</v>
      </c>
      <c r="O59" s="870">
        <v>0</v>
      </c>
      <c r="P59" s="870">
        <v>0</v>
      </c>
      <c r="Q59" s="872">
        <v>31</v>
      </c>
      <c r="R59" s="864">
        <f>(C59-F59-J59-K59)+G59</f>
        <v>40</v>
      </c>
      <c r="S59" s="873">
        <f t="shared" si="2"/>
        <v>0.7428571428571429</v>
      </c>
    </row>
    <row r="60" spans="1:19" ht="18.75" customHeight="1">
      <c r="A60" s="497" t="s">
        <v>75</v>
      </c>
      <c r="B60" s="858" t="s">
        <v>666</v>
      </c>
      <c r="C60" s="835">
        <f>E60+D60</f>
        <v>73</v>
      </c>
      <c r="D60" s="835">
        <f>D61+D62</f>
        <v>31</v>
      </c>
      <c r="E60" s="835">
        <f>E61+E62</f>
        <v>42</v>
      </c>
      <c r="F60" s="835">
        <f>F61+F62</f>
        <v>0</v>
      </c>
      <c r="G60" s="835">
        <f>G61+G62</f>
        <v>0</v>
      </c>
      <c r="H60" s="835">
        <f>I60+Q60</f>
        <v>73</v>
      </c>
      <c r="I60" s="835">
        <f aca="true" t="shared" si="20" ref="I60:Q60">I61+I62</f>
        <v>47</v>
      </c>
      <c r="J60" s="835">
        <f t="shared" si="20"/>
        <v>10</v>
      </c>
      <c r="K60" s="835">
        <f t="shared" si="20"/>
        <v>0</v>
      </c>
      <c r="L60" s="835">
        <f t="shared" si="20"/>
        <v>37</v>
      </c>
      <c r="M60" s="835">
        <f t="shared" si="20"/>
        <v>0</v>
      </c>
      <c r="N60" s="835">
        <f t="shared" si="20"/>
        <v>0</v>
      </c>
      <c r="O60" s="835">
        <f t="shared" si="20"/>
        <v>0</v>
      </c>
      <c r="P60" s="835">
        <f t="shared" si="20"/>
        <v>0</v>
      </c>
      <c r="Q60" s="835">
        <f t="shared" si="20"/>
        <v>26</v>
      </c>
      <c r="R60" s="874">
        <f>(C60-F60-J60-K60)+G60</f>
        <v>63</v>
      </c>
      <c r="S60" s="875">
        <f>SUM(J60:K60)/SUM(I60)*100%</f>
        <v>0.2127659574468085</v>
      </c>
    </row>
    <row r="61" spans="1:19" ht="18.75" customHeight="1">
      <c r="A61" s="663" t="s">
        <v>51</v>
      </c>
      <c r="B61" s="651" t="s">
        <v>667</v>
      </c>
      <c r="C61" s="838">
        <f>D61+E61</f>
        <v>12</v>
      </c>
      <c r="D61" s="879">
        <v>7</v>
      </c>
      <c r="E61" s="876">
        <v>5</v>
      </c>
      <c r="F61" s="876"/>
      <c r="G61" s="877">
        <v>0</v>
      </c>
      <c r="H61" s="838">
        <f t="shared" si="11"/>
        <v>12</v>
      </c>
      <c r="I61" s="838">
        <f t="shared" si="8"/>
        <v>4</v>
      </c>
      <c r="J61" s="848">
        <v>1</v>
      </c>
      <c r="K61" s="848">
        <v>0</v>
      </c>
      <c r="L61" s="848">
        <v>3</v>
      </c>
      <c r="M61" s="848">
        <v>0</v>
      </c>
      <c r="N61" s="848">
        <v>0</v>
      </c>
      <c r="O61" s="848">
        <v>0</v>
      </c>
      <c r="P61" s="848">
        <v>0</v>
      </c>
      <c r="Q61" s="848">
        <v>8</v>
      </c>
      <c r="R61" s="864">
        <f>(C61-F61-J61-K61)+G61</f>
        <v>11</v>
      </c>
      <c r="S61" s="878">
        <f>SUM(J61:K61)/SUM(I61)*100%</f>
        <v>0.25</v>
      </c>
    </row>
    <row r="62" spans="1:19" ht="18.75" customHeight="1">
      <c r="A62" s="663" t="s">
        <v>52</v>
      </c>
      <c r="B62" s="651" t="s">
        <v>668</v>
      </c>
      <c r="C62" s="838">
        <f>D62+E62</f>
        <v>61</v>
      </c>
      <c r="D62" s="879">
        <v>24</v>
      </c>
      <c r="E62" s="876">
        <v>37</v>
      </c>
      <c r="F62" s="876"/>
      <c r="G62" s="877">
        <v>0</v>
      </c>
      <c r="H62" s="838">
        <f t="shared" si="11"/>
        <v>61</v>
      </c>
      <c r="I62" s="838">
        <f t="shared" si="8"/>
        <v>43</v>
      </c>
      <c r="J62" s="848">
        <v>9</v>
      </c>
      <c r="K62" s="848">
        <v>0</v>
      </c>
      <c r="L62" s="848">
        <v>34</v>
      </c>
      <c r="M62" s="848">
        <v>0</v>
      </c>
      <c r="N62" s="848">
        <v>0</v>
      </c>
      <c r="O62" s="848">
        <v>0</v>
      </c>
      <c r="P62" s="848">
        <v>0</v>
      </c>
      <c r="Q62" s="848">
        <v>18</v>
      </c>
      <c r="R62" s="864">
        <f>(C62-F62-J62-K62)+G62</f>
        <v>52</v>
      </c>
      <c r="S62" s="878">
        <f>SUM(J62:K62)/SUM(I62)*100%</f>
        <v>0.20930232558139536</v>
      </c>
    </row>
    <row r="63" spans="1:20" ht="18.75" customHeight="1">
      <c r="A63" s="1371"/>
      <c r="B63" s="1371"/>
      <c r="C63" s="1371"/>
      <c r="D63" s="1371"/>
      <c r="E63" s="1371"/>
      <c r="F63" s="1371"/>
      <c r="G63" s="1371"/>
      <c r="H63" s="1371"/>
      <c r="I63" s="1371"/>
      <c r="J63" s="1371"/>
      <c r="K63" s="1371"/>
      <c r="L63" s="1371"/>
      <c r="M63" s="1371"/>
      <c r="N63" s="1371"/>
      <c r="O63" s="1371"/>
      <c r="P63" s="1371"/>
      <c r="Q63" s="1371"/>
      <c r="R63" s="1371"/>
      <c r="S63" s="1371"/>
      <c r="T63" s="1371"/>
    </row>
    <row r="64" spans="1:19" s="409" customFormat="1" ht="18.75" customHeight="1">
      <c r="A64" s="1389"/>
      <c r="B64" s="1389"/>
      <c r="C64" s="1389"/>
      <c r="D64" s="1389"/>
      <c r="E64" s="1389"/>
      <c r="F64" s="546"/>
      <c r="G64" s="546"/>
      <c r="H64" s="546"/>
      <c r="I64" s="546"/>
      <c r="J64" s="546"/>
      <c r="K64" s="1372" t="str">
        <f>'Thong tin'!B8</f>
        <v>Tuyên Quang, ngày 05 tháng 01 năm 2018</v>
      </c>
      <c r="L64" s="1372"/>
      <c r="M64" s="1372"/>
      <c r="N64" s="1372"/>
      <c r="O64" s="1372"/>
      <c r="P64" s="1372"/>
      <c r="Q64" s="1372"/>
      <c r="R64" s="1372"/>
      <c r="S64" s="1372"/>
    </row>
    <row r="65" spans="1:19" s="410" customFormat="1" ht="19.5" customHeight="1">
      <c r="A65" s="550"/>
      <c r="B65" s="1336" t="s">
        <v>4</v>
      </c>
      <c r="C65" s="1336"/>
      <c r="D65" s="1336"/>
      <c r="E65" s="1336"/>
      <c r="F65" s="544"/>
      <c r="G65" s="544"/>
      <c r="H65" s="544"/>
      <c r="I65" s="544"/>
      <c r="J65" s="544"/>
      <c r="K65" s="544"/>
      <c r="L65" s="544"/>
      <c r="M65" s="544"/>
      <c r="N65" s="1388" t="str">
        <f>'Thong tin'!B7</f>
        <v>CỤC TRƯỞNG</v>
      </c>
      <c r="O65" s="1388"/>
      <c r="P65" s="1388"/>
      <c r="Q65" s="1388"/>
      <c r="R65" s="1388"/>
      <c r="S65" s="1388"/>
    </row>
    <row r="66" spans="1:19" ht="18.75">
      <c r="A66" s="534"/>
      <c r="B66" s="1328"/>
      <c r="C66" s="1328"/>
      <c r="D66" s="1328"/>
      <c r="E66" s="540"/>
      <c r="F66" s="540"/>
      <c r="G66" s="540"/>
      <c r="H66" s="540"/>
      <c r="I66" s="540"/>
      <c r="J66" s="540"/>
      <c r="K66" s="540"/>
      <c r="L66" s="540"/>
      <c r="M66" s="540"/>
      <c r="N66" s="1335"/>
      <c r="O66" s="1335"/>
      <c r="P66" s="1335"/>
      <c r="Q66" s="1335"/>
      <c r="R66" s="1335"/>
      <c r="S66" s="1335"/>
    </row>
    <row r="67" spans="1:19" ht="18.75">
      <c r="A67" s="534"/>
      <c r="B67" s="534"/>
      <c r="C67" s="534"/>
      <c r="D67" s="540"/>
      <c r="E67" s="540"/>
      <c r="F67" s="540"/>
      <c r="G67" s="540"/>
      <c r="H67" s="540"/>
      <c r="I67" s="540"/>
      <c r="J67" s="540"/>
      <c r="K67" s="540"/>
      <c r="L67" s="540"/>
      <c r="M67" s="540"/>
      <c r="N67" s="540"/>
      <c r="O67" s="540"/>
      <c r="P67" s="540"/>
      <c r="Q67" s="540"/>
      <c r="R67" s="534"/>
      <c r="S67" s="534"/>
    </row>
    <row r="68" spans="1:19" ht="18.75">
      <c r="A68" s="534"/>
      <c r="B68" s="1335"/>
      <c r="C68" s="1335"/>
      <c r="D68" s="1335"/>
      <c r="E68" s="1335"/>
      <c r="F68" s="540"/>
      <c r="G68" s="540"/>
      <c r="H68" s="540"/>
      <c r="I68" s="540"/>
      <c r="J68" s="540"/>
      <c r="K68" s="540"/>
      <c r="L68" s="540"/>
      <c r="M68" s="540"/>
      <c r="N68" s="540"/>
      <c r="O68" s="540"/>
      <c r="P68" s="1335"/>
      <c r="Q68" s="1335"/>
      <c r="R68" s="1335"/>
      <c r="S68" s="534"/>
    </row>
    <row r="69" spans="1:19" ht="15.75" customHeight="1">
      <c r="A69" s="551"/>
      <c r="B69" s="534"/>
      <c r="C69" s="534"/>
      <c r="D69" s="540"/>
      <c r="E69" s="540"/>
      <c r="F69" s="540"/>
      <c r="G69" s="540"/>
      <c r="H69" s="540"/>
      <c r="I69" s="540"/>
      <c r="J69" s="540"/>
      <c r="K69" s="540"/>
      <c r="L69" s="540"/>
      <c r="M69" s="540"/>
      <c r="N69" s="540"/>
      <c r="O69" s="540"/>
      <c r="P69" s="540"/>
      <c r="Q69" s="540"/>
      <c r="R69" s="534"/>
      <c r="S69" s="534"/>
    </row>
    <row r="70" spans="1:19" ht="15.75" customHeight="1">
      <c r="A70" s="534"/>
      <c r="B70" s="1370"/>
      <c r="C70" s="1370"/>
      <c r="D70" s="1370"/>
      <c r="E70" s="1370"/>
      <c r="F70" s="1370"/>
      <c r="G70" s="1370"/>
      <c r="H70" s="1370"/>
      <c r="I70" s="1370"/>
      <c r="J70" s="1370"/>
      <c r="K70" s="1370"/>
      <c r="L70" s="1370"/>
      <c r="M70" s="1370"/>
      <c r="N70" s="1370"/>
      <c r="O70" s="1370"/>
      <c r="P70" s="540"/>
      <c r="Q70" s="540"/>
      <c r="R70" s="534"/>
      <c r="S70" s="534"/>
    </row>
    <row r="71" spans="1:19" ht="18.75">
      <c r="A71" s="545"/>
      <c r="B71" s="545"/>
      <c r="C71" s="545"/>
      <c r="D71" s="545"/>
      <c r="E71" s="545"/>
      <c r="F71" s="545"/>
      <c r="G71" s="545"/>
      <c r="H71" s="545"/>
      <c r="I71" s="545"/>
      <c r="J71" s="545"/>
      <c r="K71" s="545"/>
      <c r="L71" s="545"/>
      <c r="M71" s="545"/>
      <c r="N71" s="545"/>
      <c r="O71" s="545"/>
      <c r="P71" s="545"/>
      <c r="Q71" s="534"/>
      <c r="R71" s="534"/>
      <c r="S71" s="534"/>
    </row>
    <row r="72" spans="1:19" ht="18.75">
      <c r="A72" s="534"/>
      <c r="B72" s="534"/>
      <c r="C72" s="534"/>
      <c r="D72" s="534"/>
      <c r="E72" s="534"/>
      <c r="F72" s="534"/>
      <c r="G72" s="534"/>
      <c r="H72" s="534"/>
      <c r="I72" s="534"/>
      <c r="J72" s="534"/>
      <c r="K72" s="534"/>
      <c r="L72" s="534"/>
      <c r="M72" s="534"/>
      <c r="N72" s="534"/>
      <c r="O72" s="534"/>
      <c r="P72" s="534"/>
      <c r="Q72" s="534"/>
      <c r="R72" s="534"/>
      <c r="S72" s="534"/>
    </row>
    <row r="73" spans="1:19" ht="18.75">
      <c r="A73" s="534"/>
      <c r="B73" s="1305" t="str">
        <f>'Thong tin'!B5</f>
        <v>Duy Thị Thúy</v>
      </c>
      <c r="C73" s="1305"/>
      <c r="D73" s="1305"/>
      <c r="E73" s="1305"/>
      <c r="F73" s="534"/>
      <c r="G73" s="534"/>
      <c r="H73" s="534"/>
      <c r="I73" s="534"/>
      <c r="J73" s="534"/>
      <c r="K73" s="534"/>
      <c r="L73" s="534"/>
      <c r="M73" s="534"/>
      <c r="N73" s="1305" t="str">
        <f>'Thong tin'!B6</f>
        <v>Nguyễn Tuyên </v>
      </c>
      <c r="O73" s="1305"/>
      <c r="P73" s="1305"/>
      <c r="Q73" s="1305"/>
      <c r="R73" s="1305"/>
      <c r="S73" s="1305"/>
    </row>
    <row r="74" spans="1:19" ht="18.75">
      <c r="A74" s="465"/>
      <c r="B74" s="465"/>
      <c r="C74" s="465"/>
      <c r="D74" s="465"/>
      <c r="E74" s="465"/>
      <c r="F74" s="465"/>
      <c r="G74" s="465"/>
      <c r="H74" s="465"/>
      <c r="I74" s="465"/>
      <c r="J74" s="465"/>
      <c r="K74" s="465"/>
      <c r="L74" s="465"/>
      <c r="M74" s="465"/>
      <c r="N74" s="465"/>
      <c r="O74" s="465"/>
      <c r="P74" s="465"/>
      <c r="Q74" s="465"/>
      <c r="R74" s="465"/>
      <c r="S74" s="465"/>
    </row>
  </sheetData>
  <sheetProtection/>
  <mergeCells count="37">
    <mergeCell ref="A2:D2"/>
    <mergeCell ref="P2:S2"/>
    <mergeCell ref="A3:D3"/>
    <mergeCell ref="N65:S65"/>
    <mergeCell ref="A64:E64"/>
    <mergeCell ref="A6:B9"/>
    <mergeCell ref="I8:I9"/>
    <mergeCell ref="S6:S9"/>
    <mergeCell ref="I7:P7"/>
    <mergeCell ref="A11:B11"/>
    <mergeCell ref="E1:O1"/>
    <mergeCell ref="E2:O2"/>
    <mergeCell ref="E3:O3"/>
    <mergeCell ref="F6:F9"/>
    <mergeCell ref="G6:G9"/>
    <mergeCell ref="H6:Q6"/>
    <mergeCell ref="C6:E6"/>
    <mergeCell ref="P4:S4"/>
    <mergeCell ref="H7:H9"/>
    <mergeCell ref="Q7:Q9"/>
    <mergeCell ref="N66:S66"/>
    <mergeCell ref="B70:O70"/>
    <mergeCell ref="B66:D66"/>
    <mergeCell ref="B68:E68"/>
    <mergeCell ref="P68:R68"/>
    <mergeCell ref="A63:T63"/>
    <mergeCell ref="K64:S64"/>
    <mergeCell ref="R6:R9"/>
    <mergeCell ref="C7:C9"/>
    <mergeCell ref="N73:S73"/>
    <mergeCell ref="D7:E7"/>
    <mergeCell ref="D8:D9"/>
    <mergeCell ref="E8:E9"/>
    <mergeCell ref="J8:P8"/>
    <mergeCell ref="B73:E73"/>
    <mergeCell ref="A10:B10"/>
    <mergeCell ref="B65:E65"/>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J73"/>
  <sheetViews>
    <sheetView showZeros="0" tabSelected="1" zoomScale="85" zoomScaleNormal="85" zoomScaleSheetLayoutView="85" zoomScalePageLayoutView="0" workbookViewId="0" topLeftCell="A7">
      <pane ySplit="6" topLeftCell="A16" activePane="bottomLeft" state="frozen"/>
      <selection pane="topLeft" activeCell="A7" sqref="A7"/>
      <selection pane="bottomLeft" activeCell="H20" sqref="H20"/>
    </sheetView>
  </sheetViews>
  <sheetFormatPr defaultColWidth="9.00390625" defaultRowHeight="15.75"/>
  <cols>
    <col min="1" max="1" width="4.125" style="422" customWidth="1"/>
    <col min="2" max="2" width="14.75390625" style="422" customWidth="1"/>
    <col min="3" max="3" width="10.625" style="422" customWidth="1"/>
    <col min="4" max="4" width="10.75390625" style="422" customWidth="1"/>
    <col min="5" max="5" width="10.00390625" style="422" customWidth="1"/>
    <col min="6" max="6" width="8.875" style="422" customWidth="1"/>
    <col min="7" max="7" width="7.125" style="422" customWidth="1"/>
    <col min="8" max="8" width="10.25390625" style="422" customWidth="1"/>
    <col min="9" max="9" width="10.625" style="422" customWidth="1"/>
    <col min="10" max="11" width="9.625" style="422" customWidth="1"/>
    <col min="12" max="12" width="8.50390625" style="422" customWidth="1"/>
    <col min="13" max="13" width="9.50390625" style="422" customWidth="1"/>
    <col min="14" max="14" width="10.00390625" style="422" customWidth="1"/>
    <col min="15" max="15" width="4.50390625" style="422" customWidth="1"/>
    <col min="16" max="16" width="4.625" style="422" customWidth="1"/>
    <col min="17" max="17" width="8.125" style="422" customWidth="1"/>
    <col min="18" max="18" width="10.00390625" style="422" customWidth="1"/>
    <col min="19" max="19" width="11.125" style="422" customWidth="1"/>
    <col min="20" max="20" width="6.25390625" style="422" customWidth="1"/>
    <col min="21" max="22" width="9.00390625" style="422" customWidth="1"/>
    <col min="23" max="23" width="41.50390625" style="422" customWidth="1"/>
    <col min="24" max="16384" width="9.00390625" style="422" customWidth="1"/>
  </cols>
  <sheetData>
    <row r="1" spans="1:20" s="442" customFormat="1" ht="20.25" customHeight="1">
      <c r="A1" s="701" t="s">
        <v>34</v>
      </c>
      <c r="B1" s="701"/>
      <c r="C1" s="701"/>
      <c r="D1" s="702"/>
      <c r="E1" s="1406" t="s">
        <v>683</v>
      </c>
      <c r="F1" s="1406"/>
      <c r="G1" s="1406"/>
      <c r="H1" s="1406"/>
      <c r="I1" s="1406"/>
      <c r="J1" s="1406"/>
      <c r="K1" s="1406"/>
      <c r="L1" s="1406"/>
      <c r="M1" s="1406"/>
      <c r="N1" s="1406"/>
      <c r="O1" s="1406"/>
      <c r="P1" s="1406"/>
      <c r="Q1" s="703" t="s">
        <v>563</v>
      </c>
      <c r="R1" s="703"/>
      <c r="S1" s="703"/>
      <c r="T1" s="703"/>
    </row>
    <row r="2" spans="1:20" ht="17.25" customHeight="1">
      <c r="A2" s="1394" t="s">
        <v>342</v>
      </c>
      <c r="B2" s="1394"/>
      <c r="C2" s="1394"/>
      <c r="D2" s="1394"/>
      <c r="E2" s="1407" t="s">
        <v>41</v>
      </c>
      <c r="F2" s="1407"/>
      <c r="G2" s="1407"/>
      <c r="H2" s="1407"/>
      <c r="I2" s="1407"/>
      <c r="J2" s="1407"/>
      <c r="K2" s="1407"/>
      <c r="L2" s="1407"/>
      <c r="M2" s="1407"/>
      <c r="N2" s="1407"/>
      <c r="O2" s="1407"/>
      <c r="P2" s="1407"/>
      <c r="Q2" s="1395" t="str">
        <f>'Thong tin'!B4</f>
        <v>Cục THADS tỉnh Tuyên Quang</v>
      </c>
      <c r="R2" s="1395"/>
      <c r="S2" s="1395"/>
      <c r="T2" s="1395"/>
    </row>
    <row r="3" spans="1:20" s="442" customFormat="1" ht="18" customHeight="1">
      <c r="A3" s="1394" t="s">
        <v>343</v>
      </c>
      <c r="B3" s="1394"/>
      <c r="C3" s="1394"/>
      <c r="D3" s="1394"/>
      <c r="E3" s="1408" t="str">
        <f>'Thong tin'!B3</f>
        <v>03 tháng / năm 2018</v>
      </c>
      <c r="F3" s="1408"/>
      <c r="G3" s="1408"/>
      <c r="H3" s="1408"/>
      <c r="I3" s="1408"/>
      <c r="J3" s="1408"/>
      <c r="K3" s="1408"/>
      <c r="L3" s="1408"/>
      <c r="M3" s="1408"/>
      <c r="N3" s="1408"/>
      <c r="O3" s="1408"/>
      <c r="P3" s="1408"/>
      <c r="Q3" s="703" t="s">
        <v>712</v>
      </c>
      <c r="R3" s="701"/>
      <c r="S3" s="703"/>
      <c r="T3" s="703"/>
    </row>
    <row r="4" spans="1:20" ht="14.25" customHeight="1">
      <c r="A4" s="704" t="s">
        <v>215</v>
      </c>
      <c r="B4" s="701"/>
      <c r="C4" s="701"/>
      <c r="D4" s="701"/>
      <c r="E4" s="701"/>
      <c r="F4" s="701"/>
      <c r="G4" s="701"/>
      <c r="H4" s="701"/>
      <c r="I4" s="701"/>
      <c r="J4" s="701"/>
      <c r="K4" s="701"/>
      <c r="L4" s="701"/>
      <c r="M4" s="701"/>
      <c r="N4" s="701"/>
      <c r="O4" s="705"/>
      <c r="P4" s="705"/>
      <c r="Q4" s="1412" t="s">
        <v>410</v>
      </c>
      <c r="R4" s="1412"/>
      <c r="S4" s="1412"/>
      <c r="T4" s="1412"/>
    </row>
    <row r="5" spans="1:20" s="442" customFormat="1" ht="21.75" customHeight="1" thickBot="1">
      <c r="A5" s="702"/>
      <c r="B5" s="706"/>
      <c r="C5" s="706"/>
      <c r="D5" s="702"/>
      <c r="E5" s="702"/>
      <c r="F5" s="702"/>
      <c r="G5" s="702"/>
      <c r="H5" s="702"/>
      <c r="I5" s="702"/>
      <c r="J5" s="702"/>
      <c r="K5" s="707"/>
      <c r="L5" s="702"/>
      <c r="M5" s="702"/>
      <c r="N5" s="702"/>
      <c r="O5" s="702"/>
      <c r="P5" s="702"/>
      <c r="Q5" s="1420" t="s">
        <v>564</v>
      </c>
      <c r="R5" s="1420"/>
      <c r="S5" s="1420"/>
      <c r="T5" s="1420"/>
    </row>
    <row r="6" spans="1:36" s="442" customFormat="1" ht="18.75" customHeight="1" thickTop="1">
      <c r="A6" s="1416" t="s">
        <v>71</v>
      </c>
      <c r="B6" s="1417"/>
      <c r="C6" s="1404" t="s">
        <v>216</v>
      </c>
      <c r="D6" s="1404"/>
      <c r="E6" s="1404"/>
      <c r="F6" s="1409" t="s">
        <v>133</v>
      </c>
      <c r="G6" s="1409" t="s">
        <v>217</v>
      </c>
      <c r="H6" s="1410" t="s">
        <v>136</v>
      </c>
      <c r="I6" s="1410"/>
      <c r="J6" s="1410"/>
      <c r="K6" s="1410"/>
      <c r="L6" s="1410"/>
      <c r="M6" s="1410"/>
      <c r="N6" s="1410"/>
      <c r="O6" s="1410"/>
      <c r="P6" s="1410"/>
      <c r="Q6" s="1410"/>
      <c r="R6" s="1410"/>
      <c r="S6" s="1404" t="s">
        <v>352</v>
      </c>
      <c r="T6" s="1401" t="s">
        <v>562</v>
      </c>
      <c r="U6" s="448"/>
      <c r="V6" s="448"/>
      <c r="W6" s="448"/>
      <c r="X6" s="448"/>
      <c r="Y6" s="448"/>
      <c r="Z6" s="448"/>
      <c r="AA6" s="448"/>
      <c r="AB6" s="448"/>
      <c r="AC6" s="448"/>
      <c r="AD6" s="448"/>
      <c r="AE6" s="448"/>
      <c r="AF6" s="448"/>
      <c r="AG6" s="448"/>
      <c r="AH6" s="448"/>
      <c r="AI6" s="448"/>
      <c r="AJ6" s="448"/>
    </row>
    <row r="7" spans="1:36" s="500" customFormat="1" ht="21" customHeight="1">
      <c r="A7" s="1418"/>
      <c r="B7" s="1419"/>
      <c r="C7" s="1405" t="s">
        <v>50</v>
      </c>
      <c r="D7" s="1421" t="s">
        <v>7</v>
      </c>
      <c r="E7" s="1421"/>
      <c r="F7" s="1399"/>
      <c r="G7" s="1399"/>
      <c r="H7" s="1399" t="s">
        <v>136</v>
      </c>
      <c r="I7" s="1405" t="s">
        <v>137</v>
      </c>
      <c r="J7" s="1405"/>
      <c r="K7" s="1405"/>
      <c r="L7" s="1405"/>
      <c r="M7" s="1405"/>
      <c r="N7" s="1405"/>
      <c r="O7" s="1405"/>
      <c r="P7" s="1405"/>
      <c r="Q7" s="1405"/>
      <c r="R7" s="1399" t="s">
        <v>218</v>
      </c>
      <c r="S7" s="1405"/>
      <c r="T7" s="1402"/>
      <c r="U7" s="489"/>
      <c r="V7" s="489"/>
      <c r="W7" s="489"/>
      <c r="X7" s="489"/>
      <c r="Y7" s="489"/>
      <c r="Z7" s="489"/>
      <c r="AA7" s="489"/>
      <c r="AB7" s="489"/>
      <c r="AC7" s="489"/>
      <c r="AD7" s="489"/>
      <c r="AE7" s="489"/>
      <c r="AF7" s="489"/>
      <c r="AG7" s="489"/>
      <c r="AH7" s="489"/>
      <c r="AI7" s="489"/>
      <c r="AJ7" s="489"/>
    </row>
    <row r="8" spans="1:36" s="442" customFormat="1" ht="21.75" customHeight="1">
      <c r="A8" s="1418"/>
      <c r="B8" s="1419"/>
      <c r="C8" s="1405"/>
      <c r="D8" s="1421" t="s">
        <v>219</v>
      </c>
      <c r="E8" s="1421" t="s">
        <v>220</v>
      </c>
      <c r="F8" s="1399"/>
      <c r="G8" s="1399"/>
      <c r="H8" s="1399"/>
      <c r="I8" s="1399" t="s">
        <v>561</v>
      </c>
      <c r="J8" s="1421" t="s">
        <v>7</v>
      </c>
      <c r="K8" s="1421"/>
      <c r="L8" s="1421"/>
      <c r="M8" s="1421"/>
      <c r="N8" s="1421"/>
      <c r="O8" s="1421"/>
      <c r="P8" s="1421"/>
      <c r="Q8" s="1421"/>
      <c r="R8" s="1399"/>
      <c r="S8" s="1405"/>
      <c r="T8" s="1402"/>
      <c r="U8" s="448"/>
      <c r="V8" s="448"/>
      <c r="W8" s="448"/>
      <c r="X8" s="448"/>
      <c r="Y8" s="448"/>
      <c r="Z8" s="448"/>
      <c r="AA8" s="448"/>
      <c r="AB8" s="448"/>
      <c r="AC8" s="448"/>
      <c r="AD8" s="448"/>
      <c r="AE8" s="448"/>
      <c r="AF8" s="448"/>
      <c r="AG8" s="448"/>
      <c r="AH8" s="448"/>
      <c r="AI8" s="448"/>
      <c r="AJ8" s="448"/>
    </row>
    <row r="9" spans="1:36" s="442" customFormat="1" ht="84" customHeight="1">
      <c r="A9" s="1418"/>
      <c r="B9" s="1419"/>
      <c r="C9" s="1405"/>
      <c r="D9" s="1421"/>
      <c r="E9" s="1421"/>
      <c r="F9" s="1399"/>
      <c r="G9" s="1399"/>
      <c r="H9" s="1399"/>
      <c r="I9" s="1399"/>
      <c r="J9" s="708" t="s">
        <v>221</v>
      </c>
      <c r="K9" s="708" t="s">
        <v>222</v>
      </c>
      <c r="L9" s="708" t="s">
        <v>201</v>
      </c>
      <c r="M9" s="709" t="s">
        <v>141</v>
      </c>
      <c r="N9" s="709" t="s">
        <v>223</v>
      </c>
      <c r="O9" s="709" t="s">
        <v>145</v>
      </c>
      <c r="P9" s="709" t="s">
        <v>353</v>
      </c>
      <c r="Q9" s="709" t="s">
        <v>149</v>
      </c>
      <c r="R9" s="1399"/>
      <c r="S9" s="1405"/>
      <c r="T9" s="1402"/>
      <c r="U9" s="448"/>
      <c r="V9" s="448"/>
      <c r="W9" s="448"/>
      <c r="X9" s="448"/>
      <c r="Y9" s="448"/>
      <c r="Z9" s="448"/>
      <c r="AA9" s="448"/>
      <c r="AB9" s="448"/>
      <c r="AC9" s="448"/>
      <c r="AD9" s="448"/>
      <c r="AE9" s="448"/>
      <c r="AF9" s="448"/>
      <c r="AG9" s="448"/>
      <c r="AH9" s="448"/>
      <c r="AI9" s="448"/>
      <c r="AJ9" s="448"/>
    </row>
    <row r="10" spans="1:20" s="442" customFormat="1" ht="17.25" customHeight="1">
      <c r="A10" s="1397" t="s">
        <v>6</v>
      </c>
      <c r="B10" s="1398"/>
      <c r="C10" s="710">
        <v>1</v>
      </c>
      <c r="D10" s="710">
        <v>2</v>
      </c>
      <c r="E10" s="710">
        <v>3</v>
      </c>
      <c r="F10" s="710">
        <v>4</v>
      </c>
      <c r="G10" s="710">
        <v>5</v>
      </c>
      <c r="H10" s="710">
        <v>6</v>
      </c>
      <c r="I10" s="710">
        <v>7</v>
      </c>
      <c r="J10" s="710">
        <v>8</v>
      </c>
      <c r="K10" s="710">
        <v>9</v>
      </c>
      <c r="L10" s="710" t="s">
        <v>100</v>
      </c>
      <c r="M10" s="710" t="s">
        <v>101</v>
      </c>
      <c r="N10" s="710" t="s">
        <v>102</v>
      </c>
      <c r="O10" s="710" t="s">
        <v>103</v>
      </c>
      <c r="P10" s="710" t="s">
        <v>104</v>
      </c>
      <c r="Q10" s="710" t="s">
        <v>355</v>
      </c>
      <c r="R10" s="710" t="s">
        <v>356</v>
      </c>
      <c r="S10" s="710" t="s">
        <v>357</v>
      </c>
      <c r="T10" s="711" t="s">
        <v>358</v>
      </c>
    </row>
    <row r="11" spans="1:20" s="702" customFormat="1" ht="24" customHeight="1">
      <c r="A11" s="773"/>
      <c r="B11" s="882" t="s">
        <v>225</v>
      </c>
      <c r="C11" s="883">
        <f>D11+E11</f>
        <v>108990213</v>
      </c>
      <c r="D11" s="884">
        <f aca="true" t="shared" si="0" ref="D11:S11">D12+D24+D33+D40+D47+D52+D57+D60</f>
        <v>95712620</v>
      </c>
      <c r="E11" s="884">
        <f t="shared" si="0"/>
        <v>13277593</v>
      </c>
      <c r="F11" s="884">
        <f t="shared" si="0"/>
        <v>7790301</v>
      </c>
      <c r="G11" s="883">
        <f t="shared" si="0"/>
        <v>0</v>
      </c>
      <c r="H11" s="883">
        <f>I11+R11</f>
        <v>101199912</v>
      </c>
      <c r="I11" s="883">
        <f t="shared" si="0"/>
        <v>41568874</v>
      </c>
      <c r="J11" s="884">
        <f t="shared" si="0"/>
        <v>4208144</v>
      </c>
      <c r="K11" s="883">
        <f t="shared" si="0"/>
        <v>1089973</v>
      </c>
      <c r="L11" s="883">
        <f t="shared" si="0"/>
        <v>97472</v>
      </c>
      <c r="M11" s="883">
        <f t="shared" si="0"/>
        <v>19336919</v>
      </c>
      <c r="N11" s="883">
        <f t="shared" si="0"/>
        <v>16712398</v>
      </c>
      <c r="O11" s="883">
        <f t="shared" si="0"/>
        <v>0</v>
      </c>
      <c r="P11" s="883">
        <f t="shared" si="0"/>
        <v>0</v>
      </c>
      <c r="Q11" s="883">
        <f t="shared" si="0"/>
        <v>123968</v>
      </c>
      <c r="R11" s="883">
        <f t="shared" si="0"/>
        <v>59631038</v>
      </c>
      <c r="S11" s="883">
        <f t="shared" si="0"/>
        <v>95804323</v>
      </c>
      <c r="T11" s="885">
        <f>(K11+J11+L11)/I11</f>
        <v>0.1297987768444245</v>
      </c>
    </row>
    <row r="12" spans="1:20" s="702" customFormat="1" ht="26.25" customHeight="1">
      <c r="A12" s="712" t="s">
        <v>0</v>
      </c>
      <c r="B12" s="886" t="s">
        <v>670</v>
      </c>
      <c r="C12" s="883">
        <f>D12+E12</f>
        <v>13823763</v>
      </c>
      <c r="D12" s="883">
        <f aca="true" t="shared" si="1" ref="D12:S12">SUM(D13:D22)</f>
        <v>12147874</v>
      </c>
      <c r="E12" s="883">
        <f t="shared" si="1"/>
        <v>1675889</v>
      </c>
      <c r="F12" s="883">
        <f t="shared" si="1"/>
        <v>13871</v>
      </c>
      <c r="G12" s="883">
        <f t="shared" si="1"/>
        <v>0</v>
      </c>
      <c r="H12" s="883">
        <f t="shared" si="1"/>
        <v>13809892</v>
      </c>
      <c r="I12" s="883">
        <f t="shared" si="1"/>
        <v>1472765</v>
      </c>
      <c r="J12" s="883">
        <f t="shared" si="1"/>
        <v>379752</v>
      </c>
      <c r="K12" s="883">
        <f t="shared" si="1"/>
        <v>14614</v>
      </c>
      <c r="L12" s="883">
        <f t="shared" si="1"/>
        <v>71063</v>
      </c>
      <c r="M12" s="883">
        <f t="shared" si="1"/>
        <v>1007336</v>
      </c>
      <c r="N12" s="883">
        <f t="shared" si="1"/>
        <v>0</v>
      </c>
      <c r="O12" s="883">
        <f t="shared" si="1"/>
        <v>0</v>
      </c>
      <c r="P12" s="883">
        <f t="shared" si="1"/>
        <v>0</v>
      </c>
      <c r="Q12" s="883">
        <f t="shared" si="1"/>
        <v>0</v>
      </c>
      <c r="R12" s="883">
        <f t="shared" si="1"/>
        <v>12337127</v>
      </c>
      <c r="S12" s="883">
        <f t="shared" si="1"/>
        <v>13344463</v>
      </c>
      <c r="T12" s="885">
        <f>(K12+J12+L12)/I12</f>
        <v>0.31602394136199596</v>
      </c>
    </row>
    <row r="13" spans="1:20" s="702" customFormat="1" ht="26.25" customHeight="1">
      <c r="A13" s="713" t="s">
        <v>51</v>
      </c>
      <c r="B13" s="887" t="s">
        <v>628</v>
      </c>
      <c r="C13" s="774">
        <f aca="true" t="shared" si="2" ref="C13:C22">D13+E13</f>
        <v>1452583</v>
      </c>
      <c r="D13" s="721">
        <v>684114</v>
      </c>
      <c r="E13" s="722">
        <v>768469</v>
      </c>
      <c r="F13" s="723">
        <v>13871</v>
      </c>
      <c r="G13" s="723"/>
      <c r="H13" s="774">
        <f aca="true" t="shared" si="3" ref="H13:H32">I13+R13</f>
        <v>1438712</v>
      </c>
      <c r="I13" s="774">
        <f aca="true" t="shared" si="4" ref="I13:I21">J13+K13+L13+M13+N13+O13+P13+Q13</f>
        <v>210622</v>
      </c>
      <c r="J13" s="722">
        <v>194062</v>
      </c>
      <c r="K13" s="722">
        <v>14614</v>
      </c>
      <c r="L13" s="722">
        <v>1946</v>
      </c>
      <c r="M13" s="722">
        <v>0</v>
      </c>
      <c r="N13" s="723"/>
      <c r="O13" s="727">
        <v>0</v>
      </c>
      <c r="P13" s="727">
        <v>0</v>
      </c>
      <c r="Q13" s="727"/>
      <c r="R13" s="728">
        <v>1228090</v>
      </c>
      <c r="S13" s="774">
        <f>C13-F13-J13-K13-L13</f>
        <v>1228090</v>
      </c>
      <c r="T13" s="888">
        <f aca="true" t="shared" si="5" ref="T13:T62">(K13+J13+L13)/I13</f>
        <v>1</v>
      </c>
    </row>
    <row r="14" spans="1:20" s="702" customFormat="1" ht="26.25" customHeight="1">
      <c r="A14" s="713" t="s">
        <v>52</v>
      </c>
      <c r="B14" s="887" t="s">
        <v>629</v>
      </c>
      <c r="C14" s="774">
        <f t="shared" si="2"/>
        <v>6068420</v>
      </c>
      <c r="D14" s="721">
        <v>5415996</v>
      </c>
      <c r="E14" s="722">
        <v>652424</v>
      </c>
      <c r="F14" s="723">
        <v>0</v>
      </c>
      <c r="G14" s="723"/>
      <c r="H14" s="774">
        <f t="shared" si="3"/>
        <v>6068420</v>
      </c>
      <c r="I14" s="774">
        <f t="shared" si="4"/>
        <v>976208</v>
      </c>
      <c r="J14" s="722">
        <v>43340</v>
      </c>
      <c r="K14" s="722">
        <v>0</v>
      </c>
      <c r="L14" s="722">
        <v>19118</v>
      </c>
      <c r="M14" s="722">
        <v>913750</v>
      </c>
      <c r="N14" s="723"/>
      <c r="O14" s="727">
        <v>0</v>
      </c>
      <c r="P14" s="727">
        <v>0</v>
      </c>
      <c r="Q14" s="727"/>
      <c r="R14" s="728">
        <v>5092212</v>
      </c>
      <c r="S14" s="774">
        <f aca="true" t="shared" si="6" ref="S14:S22">C14-F14-J14-K14-L14</f>
        <v>6005962</v>
      </c>
      <c r="T14" s="888">
        <f t="shared" si="5"/>
        <v>0.0639802173307328</v>
      </c>
    </row>
    <row r="15" spans="1:20" s="702" customFormat="1" ht="26.25" customHeight="1">
      <c r="A15" s="713" t="s">
        <v>57</v>
      </c>
      <c r="B15" s="887" t="s">
        <v>630</v>
      </c>
      <c r="C15" s="774">
        <f t="shared" si="2"/>
        <v>4217278</v>
      </c>
      <c r="D15" s="721">
        <v>4165587</v>
      </c>
      <c r="E15" s="724">
        <v>51691</v>
      </c>
      <c r="F15" s="725">
        <v>0</v>
      </c>
      <c r="G15" s="725"/>
      <c r="H15" s="774">
        <f t="shared" si="3"/>
        <v>4217278</v>
      </c>
      <c r="I15" s="774">
        <f t="shared" si="4"/>
        <v>52541</v>
      </c>
      <c r="J15" s="724">
        <v>51150</v>
      </c>
      <c r="K15" s="724">
        <v>0</v>
      </c>
      <c r="L15" s="724">
        <v>0</v>
      </c>
      <c r="M15" s="724">
        <v>1391</v>
      </c>
      <c r="N15" s="725"/>
      <c r="O15" s="729">
        <v>0</v>
      </c>
      <c r="P15" s="729">
        <v>0</v>
      </c>
      <c r="Q15" s="729"/>
      <c r="R15" s="728">
        <v>4164737</v>
      </c>
      <c r="S15" s="774">
        <f t="shared" si="6"/>
        <v>4166128</v>
      </c>
      <c r="T15" s="888">
        <f t="shared" si="5"/>
        <v>0.9735254372775547</v>
      </c>
    </row>
    <row r="16" spans="1:20" s="702" customFormat="1" ht="24.75" customHeight="1">
      <c r="A16" s="713">
        <v>4</v>
      </c>
      <c r="B16" s="887" t="s">
        <v>631</v>
      </c>
      <c r="C16" s="774">
        <f t="shared" si="2"/>
        <v>0</v>
      </c>
      <c r="D16" s="726">
        <v>0</v>
      </c>
      <c r="E16" s="722"/>
      <c r="F16" s="723">
        <v>0</v>
      </c>
      <c r="G16" s="723"/>
      <c r="H16" s="774">
        <f t="shared" si="3"/>
        <v>0</v>
      </c>
      <c r="I16" s="774">
        <f t="shared" si="4"/>
        <v>0</v>
      </c>
      <c r="J16" s="722"/>
      <c r="K16" s="722"/>
      <c r="L16" s="722"/>
      <c r="M16" s="722">
        <v>0</v>
      </c>
      <c r="N16" s="723"/>
      <c r="O16" s="727">
        <v>0</v>
      </c>
      <c r="P16" s="727">
        <v>0</v>
      </c>
      <c r="Q16" s="727"/>
      <c r="R16" s="728">
        <v>0</v>
      </c>
      <c r="S16" s="774">
        <f t="shared" si="6"/>
        <v>0</v>
      </c>
      <c r="T16" s="888" t="e">
        <f t="shared" si="5"/>
        <v>#DIV/0!</v>
      </c>
    </row>
    <row r="17" spans="1:20" s="702" customFormat="1" ht="24.75" customHeight="1">
      <c r="A17" s="713">
        <v>5</v>
      </c>
      <c r="B17" s="887" t="s">
        <v>632</v>
      </c>
      <c r="C17" s="774">
        <f t="shared" si="2"/>
        <v>47735</v>
      </c>
      <c r="D17" s="726">
        <v>47735</v>
      </c>
      <c r="E17" s="722">
        <v>0</v>
      </c>
      <c r="F17" s="723">
        <v>0</v>
      </c>
      <c r="G17" s="723"/>
      <c r="H17" s="774">
        <f t="shared" si="3"/>
        <v>47735</v>
      </c>
      <c r="I17" s="774">
        <f t="shared" si="4"/>
        <v>0</v>
      </c>
      <c r="J17" s="722">
        <v>0</v>
      </c>
      <c r="K17" s="722"/>
      <c r="L17" s="722"/>
      <c r="M17" s="722">
        <v>0</v>
      </c>
      <c r="N17" s="723"/>
      <c r="O17" s="727">
        <v>0</v>
      </c>
      <c r="P17" s="727">
        <v>0</v>
      </c>
      <c r="Q17" s="727"/>
      <c r="R17" s="728">
        <v>47735</v>
      </c>
      <c r="S17" s="774">
        <f t="shared" si="6"/>
        <v>47735</v>
      </c>
      <c r="T17" s="888" t="e">
        <f t="shared" si="5"/>
        <v>#DIV/0!</v>
      </c>
    </row>
    <row r="18" spans="1:20" s="702" customFormat="1" ht="24.75" customHeight="1">
      <c r="A18" s="713">
        <v>6</v>
      </c>
      <c r="B18" s="889" t="s">
        <v>633</v>
      </c>
      <c r="C18" s="774">
        <f t="shared" si="2"/>
        <v>1636641</v>
      </c>
      <c r="D18" s="721">
        <v>1574731</v>
      </c>
      <c r="E18" s="722">
        <v>61910</v>
      </c>
      <c r="F18" s="723">
        <v>0</v>
      </c>
      <c r="G18" s="723"/>
      <c r="H18" s="774">
        <f t="shared" si="3"/>
        <v>1636641</v>
      </c>
      <c r="I18" s="774">
        <f t="shared" si="4"/>
        <v>87299</v>
      </c>
      <c r="J18" s="722">
        <v>37300</v>
      </c>
      <c r="K18" s="722">
        <v>0</v>
      </c>
      <c r="L18" s="722">
        <v>49999</v>
      </c>
      <c r="M18" s="722">
        <v>0</v>
      </c>
      <c r="N18" s="723"/>
      <c r="O18" s="727">
        <v>0</v>
      </c>
      <c r="P18" s="727">
        <v>0</v>
      </c>
      <c r="Q18" s="727"/>
      <c r="R18" s="728">
        <v>1549342</v>
      </c>
      <c r="S18" s="774">
        <f t="shared" si="6"/>
        <v>1549342</v>
      </c>
      <c r="T18" s="888">
        <f t="shared" si="5"/>
        <v>1</v>
      </c>
    </row>
    <row r="19" spans="1:20" s="702" customFormat="1" ht="28.5" customHeight="1">
      <c r="A19" s="713">
        <v>7</v>
      </c>
      <c r="B19" s="887" t="s">
        <v>725</v>
      </c>
      <c r="C19" s="774">
        <f t="shared" si="2"/>
        <v>141395</v>
      </c>
      <c r="D19" s="726">
        <v>0</v>
      </c>
      <c r="E19" s="722">
        <v>141395</v>
      </c>
      <c r="F19" s="723">
        <v>0</v>
      </c>
      <c r="G19" s="723"/>
      <c r="H19" s="774">
        <f t="shared" si="3"/>
        <v>141395</v>
      </c>
      <c r="I19" s="774">
        <f t="shared" si="4"/>
        <v>141395</v>
      </c>
      <c r="J19" s="722">
        <v>52900</v>
      </c>
      <c r="K19" s="722"/>
      <c r="L19" s="722"/>
      <c r="M19" s="722">
        <v>88495</v>
      </c>
      <c r="N19" s="723"/>
      <c r="O19" s="727">
        <v>0</v>
      </c>
      <c r="P19" s="727">
        <v>0</v>
      </c>
      <c r="Q19" s="727"/>
      <c r="R19" s="728">
        <v>0</v>
      </c>
      <c r="S19" s="774">
        <f t="shared" si="6"/>
        <v>88495</v>
      </c>
      <c r="T19" s="888">
        <f t="shared" si="5"/>
        <v>0.37412921248983344</v>
      </c>
    </row>
    <row r="20" spans="1:20" s="702" customFormat="1" ht="28.5" customHeight="1">
      <c r="A20" s="713">
        <v>8</v>
      </c>
      <c r="B20" s="887" t="s">
        <v>687</v>
      </c>
      <c r="C20" s="774">
        <f t="shared" si="2"/>
        <v>188202</v>
      </c>
      <c r="D20" s="726">
        <v>188202</v>
      </c>
      <c r="E20" s="722">
        <v>0</v>
      </c>
      <c r="F20" s="723"/>
      <c r="G20" s="723"/>
      <c r="H20" s="728">
        <v>188202</v>
      </c>
      <c r="I20" s="774">
        <f t="shared" si="4"/>
        <v>0</v>
      </c>
      <c r="J20" s="722">
        <v>0</v>
      </c>
      <c r="K20" s="722"/>
      <c r="L20" s="722"/>
      <c r="M20" s="722">
        <v>0</v>
      </c>
      <c r="N20" s="723"/>
      <c r="O20" s="727"/>
      <c r="P20" s="727"/>
      <c r="Q20" s="727"/>
      <c r="R20" s="728">
        <v>188202</v>
      </c>
      <c r="S20" s="774">
        <f t="shared" si="6"/>
        <v>188202</v>
      </c>
      <c r="T20" s="888" t="e">
        <f t="shared" si="5"/>
        <v>#DIV/0!</v>
      </c>
    </row>
    <row r="21" spans="1:20" s="702" customFormat="1" ht="24.75" customHeight="1">
      <c r="A21" s="713">
        <v>9</v>
      </c>
      <c r="B21" s="887" t="s">
        <v>634</v>
      </c>
      <c r="C21" s="774">
        <f t="shared" si="2"/>
        <v>21629</v>
      </c>
      <c r="D21" s="726">
        <v>21629</v>
      </c>
      <c r="E21" s="722">
        <v>0</v>
      </c>
      <c r="F21" s="723">
        <v>0</v>
      </c>
      <c r="G21" s="723"/>
      <c r="H21" s="774">
        <f t="shared" si="3"/>
        <v>21629</v>
      </c>
      <c r="I21" s="774">
        <f t="shared" si="4"/>
        <v>4700</v>
      </c>
      <c r="J21" s="722">
        <v>1000</v>
      </c>
      <c r="K21" s="722"/>
      <c r="L21" s="722"/>
      <c r="M21" s="722">
        <v>3700</v>
      </c>
      <c r="N21" s="723"/>
      <c r="O21" s="727">
        <v>0</v>
      </c>
      <c r="P21" s="727">
        <v>0</v>
      </c>
      <c r="Q21" s="727"/>
      <c r="R21" s="728">
        <v>16929</v>
      </c>
      <c r="S21" s="774">
        <f t="shared" si="6"/>
        <v>20629</v>
      </c>
      <c r="T21" s="888">
        <f t="shared" si="5"/>
        <v>0.2127659574468085</v>
      </c>
    </row>
    <row r="22" spans="1:20" s="702" customFormat="1" ht="24.75" customHeight="1">
      <c r="A22" s="713">
        <v>10</v>
      </c>
      <c r="B22" s="890" t="s">
        <v>635</v>
      </c>
      <c r="C22" s="774">
        <f t="shared" si="2"/>
        <v>49880</v>
      </c>
      <c r="D22" s="726">
        <v>49880</v>
      </c>
      <c r="E22" s="722">
        <v>0</v>
      </c>
      <c r="F22" s="723">
        <v>0</v>
      </c>
      <c r="G22" s="723"/>
      <c r="H22" s="774">
        <f t="shared" si="3"/>
        <v>49880</v>
      </c>
      <c r="I22" s="774">
        <f>J22+K22+L22+M22+N22+O22+P22+Q22</f>
        <v>0</v>
      </c>
      <c r="J22" s="722">
        <v>0</v>
      </c>
      <c r="K22" s="722"/>
      <c r="L22" s="722"/>
      <c r="M22" s="722">
        <v>0</v>
      </c>
      <c r="N22" s="723"/>
      <c r="O22" s="727">
        <v>0</v>
      </c>
      <c r="P22" s="727">
        <v>0</v>
      </c>
      <c r="Q22" s="727"/>
      <c r="R22" s="728">
        <v>49880</v>
      </c>
      <c r="S22" s="774">
        <f t="shared" si="6"/>
        <v>49880</v>
      </c>
      <c r="T22" s="888" t="e">
        <f t="shared" si="5"/>
        <v>#DIV/0!</v>
      </c>
    </row>
    <row r="23" spans="1:20" s="702" customFormat="1" ht="24.75" customHeight="1">
      <c r="A23" s="891" t="s">
        <v>1</v>
      </c>
      <c r="B23" s="1391" t="s">
        <v>720</v>
      </c>
      <c r="C23" s="1392"/>
      <c r="D23" s="1392"/>
      <c r="E23" s="1392"/>
      <c r="F23" s="1392"/>
      <c r="G23" s="1392"/>
      <c r="H23" s="1392"/>
      <c r="I23" s="1392"/>
      <c r="J23" s="1392"/>
      <c r="K23" s="1392"/>
      <c r="L23" s="1392"/>
      <c r="M23" s="1392"/>
      <c r="N23" s="1392"/>
      <c r="O23" s="1392"/>
      <c r="P23" s="1392"/>
      <c r="Q23" s="1392"/>
      <c r="R23" s="1392"/>
      <c r="S23" s="1393"/>
      <c r="T23" s="888"/>
    </row>
    <row r="24" spans="1:20" s="702" customFormat="1" ht="24.75" customHeight="1">
      <c r="A24" s="712" t="s">
        <v>0</v>
      </c>
      <c r="B24" s="886" t="s">
        <v>671</v>
      </c>
      <c r="C24" s="892">
        <f>D24+E24</f>
        <v>46362550</v>
      </c>
      <c r="D24" s="893">
        <f>SUM(D25:D32)</f>
        <v>41909503</v>
      </c>
      <c r="E24" s="893">
        <f>SUM(E25:E32)</f>
        <v>4453047</v>
      </c>
      <c r="F24" s="893">
        <f>SUM(F25:F32)</f>
        <v>176782</v>
      </c>
      <c r="G24" s="893">
        <f>SUM(G25:G32)</f>
        <v>0</v>
      </c>
      <c r="H24" s="892">
        <f>I24+R24</f>
        <v>46185768</v>
      </c>
      <c r="I24" s="893">
        <f>SUM(J24:Q24)</f>
        <v>24774712</v>
      </c>
      <c r="J24" s="893">
        <f aca="true" t="shared" si="7" ref="J24:S24">SUM(J25:J32)</f>
        <v>1260102</v>
      </c>
      <c r="K24" s="893">
        <f t="shared" si="7"/>
        <v>627601</v>
      </c>
      <c r="L24" s="893">
        <f t="shared" si="7"/>
        <v>0</v>
      </c>
      <c r="M24" s="893">
        <f t="shared" si="7"/>
        <v>7870743</v>
      </c>
      <c r="N24" s="893">
        <f t="shared" si="7"/>
        <v>15016266</v>
      </c>
      <c r="O24" s="893">
        <f t="shared" si="7"/>
        <v>0</v>
      </c>
      <c r="P24" s="893">
        <f t="shared" si="7"/>
        <v>0</v>
      </c>
      <c r="Q24" s="893">
        <f t="shared" si="7"/>
        <v>0</v>
      </c>
      <c r="R24" s="893">
        <f t="shared" si="7"/>
        <v>21411056</v>
      </c>
      <c r="S24" s="893">
        <f t="shared" si="7"/>
        <v>44298065</v>
      </c>
      <c r="T24" s="894">
        <f>(K24+J24+L24)/I24</f>
        <v>0.07619475051818968</v>
      </c>
    </row>
    <row r="25" spans="1:20" s="702" customFormat="1" ht="24.75" customHeight="1">
      <c r="A25" s="713" t="s">
        <v>51</v>
      </c>
      <c r="B25" s="734" t="s">
        <v>638</v>
      </c>
      <c r="C25" s="774">
        <f>D25+E25</f>
        <v>0</v>
      </c>
      <c r="D25" s="895">
        <v>0</v>
      </c>
      <c r="E25" s="895">
        <v>0</v>
      </c>
      <c r="F25" s="895">
        <v>0</v>
      </c>
      <c r="G25" s="774">
        <v>0</v>
      </c>
      <c r="H25" s="774">
        <f t="shared" si="3"/>
        <v>0</v>
      </c>
      <c r="I25" s="774">
        <f aca="true" t="shared" si="8" ref="I25:I32">SUM(J25:Q25)</f>
        <v>0</v>
      </c>
      <c r="J25" s="895">
        <v>0</v>
      </c>
      <c r="K25" s="895">
        <v>0</v>
      </c>
      <c r="L25" s="895">
        <v>0</v>
      </c>
      <c r="M25" s="895">
        <v>0</v>
      </c>
      <c r="N25" s="895">
        <v>0</v>
      </c>
      <c r="O25" s="895"/>
      <c r="P25" s="895"/>
      <c r="Q25" s="895"/>
      <c r="R25" s="895">
        <v>0</v>
      </c>
      <c r="S25" s="774">
        <f>C25-F25-G25-J25-K25-L25</f>
        <v>0</v>
      </c>
      <c r="T25" s="888" t="e">
        <f t="shared" si="5"/>
        <v>#DIV/0!</v>
      </c>
    </row>
    <row r="26" spans="1:20" s="702" customFormat="1" ht="24.75" customHeight="1">
      <c r="A26" s="713" t="s">
        <v>52</v>
      </c>
      <c r="B26" s="733" t="s">
        <v>639</v>
      </c>
      <c r="C26" s="774">
        <f aca="true" t="shared" si="9" ref="C26:C32">D26+E26</f>
        <v>4005112</v>
      </c>
      <c r="D26" s="896">
        <v>3942047</v>
      </c>
      <c r="E26" s="896">
        <v>63065</v>
      </c>
      <c r="F26" s="896">
        <v>4500</v>
      </c>
      <c r="G26" s="774">
        <v>0</v>
      </c>
      <c r="H26" s="774">
        <f t="shared" si="3"/>
        <v>4000612</v>
      </c>
      <c r="I26" s="776">
        <f t="shared" si="8"/>
        <v>991112</v>
      </c>
      <c r="J26" s="896">
        <v>48902</v>
      </c>
      <c r="K26" s="896">
        <v>1576</v>
      </c>
      <c r="L26" s="896">
        <v>0</v>
      </c>
      <c r="M26" s="896">
        <v>729484</v>
      </c>
      <c r="N26" s="896">
        <v>211150</v>
      </c>
      <c r="O26" s="896">
        <v>0</v>
      </c>
      <c r="P26" s="896"/>
      <c r="Q26" s="896">
        <v>0</v>
      </c>
      <c r="R26" s="896">
        <v>3009500</v>
      </c>
      <c r="S26" s="774">
        <f aca="true" t="shared" si="10" ref="S26:S32">C26-F26-G26-J26-K26-L26</f>
        <v>3950134</v>
      </c>
      <c r="T26" s="888">
        <f t="shared" si="5"/>
        <v>0.05093067181105667</v>
      </c>
    </row>
    <row r="27" spans="1:20" s="702" customFormat="1" ht="24.75" customHeight="1">
      <c r="A27" s="713" t="s">
        <v>57</v>
      </c>
      <c r="B27" s="734" t="s">
        <v>640</v>
      </c>
      <c r="C27" s="774">
        <f t="shared" si="9"/>
        <v>6635268</v>
      </c>
      <c r="D27" s="896">
        <v>4960551</v>
      </c>
      <c r="E27" s="896">
        <v>1674717</v>
      </c>
      <c r="F27" s="896">
        <v>0</v>
      </c>
      <c r="G27" s="774">
        <v>0</v>
      </c>
      <c r="H27" s="774">
        <f t="shared" si="3"/>
        <v>6635268</v>
      </c>
      <c r="I27" s="776">
        <f t="shared" si="8"/>
        <v>2424251</v>
      </c>
      <c r="J27" s="896">
        <v>485264</v>
      </c>
      <c r="K27" s="896">
        <v>564013</v>
      </c>
      <c r="L27" s="896">
        <v>0</v>
      </c>
      <c r="M27" s="896">
        <v>869422</v>
      </c>
      <c r="N27" s="896">
        <v>505552</v>
      </c>
      <c r="O27" s="896"/>
      <c r="P27" s="896"/>
      <c r="Q27" s="896"/>
      <c r="R27" s="896">
        <v>4211017</v>
      </c>
      <c r="S27" s="774">
        <f t="shared" si="10"/>
        <v>5585991</v>
      </c>
      <c r="T27" s="888">
        <f t="shared" si="5"/>
        <v>0.43282523138074397</v>
      </c>
    </row>
    <row r="28" spans="1:20" s="702" customFormat="1" ht="24.75" customHeight="1">
      <c r="A28" s="713" t="s">
        <v>72</v>
      </c>
      <c r="B28" s="733" t="s">
        <v>714</v>
      </c>
      <c r="C28" s="774">
        <f t="shared" si="9"/>
        <v>12022135</v>
      </c>
      <c r="D28" s="896">
        <v>11628191</v>
      </c>
      <c r="E28" s="896">
        <v>393944</v>
      </c>
      <c r="F28" s="896">
        <v>101082</v>
      </c>
      <c r="G28" s="774">
        <v>0</v>
      </c>
      <c r="H28" s="774">
        <f t="shared" si="3"/>
        <v>11921053</v>
      </c>
      <c r="I28" s="776">
        <f t="shared" si="8"/>
        <v>3045080</v>
      </c>
      <c r="J28" s="896">
        <v>88280</v>
      </c>
      <c r="K28" s="896">
        <v>12</v>
      </c>
      <c r="L28" s="896">
        <v>0</v>
      </c>
      <c r="M28" s="896">
        <v>1389049</v>
      </c>
      <c r="N28" s="896">
        <v>1567739</v>
      </c>
      <c r="O28" s="896"/>
      <c r="P28" s="896"/>
      <c r="Q28" s="896">
        <v>0</v>
      </c>
      <c r="R28" s="896">
        <v>8875973</v>
      </c>
      <c r="S28" s="774">
        <f t="shared" si="10"/>
        <v>11832761</v>
      </c>
      <c r="T28" s="888">
        <f t="shared" si="5"/>
        <v>0.028994968933492717</v>
      </c>
    </row>
    <row r="29" spans="1:20" s="702" customFormat="1" ht="24.75" customHeight="1">
      <c r="A29" s="713" t="s">
        <v>73</v>
      </c>
      <c r="B29" s="733" t="s">
        <v>715</v>
      </c>
      <c r="C29" s="774">
        <f t="shared" si="9"/>
        <v>16366621</v>
      </c>
      <c r="D29" s="896">
        <v>15803389</v>
      </c>
      <c r="E29" s="896">
        <v>563232</v>
      </c>
      <c r="F29" s="896">
        <v>0</v>
      </c>
      <c r="G29" s="774">
        <v>0</v>
      </c>
      <c r="H29" s="774">
        <f t="shared" si="3"/>
        <v>16366621</v>
      </c>
      <c r="I29" s="776">
        <f t="shared" si="8"/>
        <v>14604027</v>
      </c>
      <c r="J29" s="896">
        <v>196622</v>
      </c>
      <c r="K29" s="896">
        <v>0</v>
      </c>
      <c r="L29" s="896">
        <v>0</v>
      </c>
      <c r="M29" s="896">
        <v>1675580</v>
      </c>
      <c r="N29" s="896">
        <v>12731825</v>
      </c>
      <c r="O29" s="896"/>
      <c r="P29" s="896"/>
      <c r="Q29" s="896">
        <v>0</v>
      </c>
      <c r="R29" s="896">
        <v>1762594</v>
      </c>
      <c r="S29" s="774">
        <f t="shared" si="10"/>
        <v>16169999</v>
      </c>
      <c r="T29" s="888">
        <f t="shared" si="5"/>
        <v>0.01346354673269229</v>
      </c>
    </row>
    <row r="30" spans="1:20" s="702" customFormat="1" ht="24.75" customHeight="1">
      <c r="A30" s="713">
        <v>6</v>
      </c>
      <c r="B30" s="734" t="s">
        <v>727</v>
      </c>
      <c r="C30" s="774">
        <f t="shared" si="9"/>
        <v>2720595</v>
      </c>
      <c r="D30" s="896">
        <v>1696588</v>
      </c>
      <c r="E30" s="896">
        <v>1024007</v>
      </c>
      <c r="F30" s="896">
        <v>71000</v>
      </c>
      <c r="G30" s="774"/>
      <c r="H30" s="774">
        <f t="shared" si="3"/>
        <v>2649595</v>
      </c>
      <c r="I30" s="776">
        <f t="shared" si="8"/>
        <v>1617189</v>
      </c>
      <c r="J30" s="896">
        <v>225036</v>
      </c>
      <c r="K30" s="896">
        <v>62000</v>
      </c>
      <c r="L30" s="896">
        <v>0</v>
      </c>
      <c r="M30" s="896">
        <v>1330153</v>
      </c>
      <c r="N30" s="896">
        <v>0</v>
      </c>
      <c r="O30" s="896">
        <v>0</v>
      </c>
      <c r="P30" s="896"/>
      <c r="Q30" s="896"/>
      <c r="R30" s="896">
        <v>1032406</v>
      </c>
      <c r="S30" s="774">
        <f t="shared" si="10"/>
        <v>2362559</v>
      </c>
      <c r="T30" s="888">
        <f t="shared" si="5"/>
        <v>0.17749069527433095</v>
      </c>
    </row>
    <row r="31" spans="1:20" s="702" customFormat="1" ht="24.75" customHeight="1">
      <c r="A31" s="713">
        <v>8</v>
      </c>
      <c r="B31" s="734" t="s">
        <v>643</v>
      </c>
      <c r="C31" s="774">
        <f t="shared" si="9"/>
        <v>4321518</v>
      </c>
      <c r="D31" s="896">
        <v>3588036</v>
      </c>
      <c r="E31" s="896">
        <v>733482</v>
      </c>
      <c r="F31" s="896">
        <v>200</v>
      </c>
      <c r="G31" s="774">
        <v>0</v>
      </c>
      <c r="H31" s="774">
        <f t="shared" si="3"/>
        <v>4321318</v>
      </c>
      <c r="I31" s="774">
        <f t="shared" si="8"/>
        <v>2092453</v>
      </c>
      <c r="J31" s="896">
        <v>215398</v>
      </c>
      <c r="K31" s="896">
        <v>0</v>
      </c>
      <c r="L31" s="896">
        <v>0</v>
      </c>
      <c r="M31" s="897">
        <v>1877055</v>
      </c>
      <c r="N31" s="896"/>
      <c r="O31" s="896">
        <v>0</v>
      </c>
      <c r="P31" s="896"/>
      <c r="Q31" s="896"/>
      <c r="R31" s="896">
        <v>2228865</v>
      </c>
      <c r="S31" s="774">
        <f t="shared" si="10"/>
        <v>4105920</v>
      </c>
      <c r="T31" s="888">
        <f t="shared" si="5"/>
        <v>0.10294042446831542</v>
      </c>
    </row>
    <row r="32" spans="1:20" s="702" customFormat="1" ht="24.75" customHeight="1">
      <c r="A32" s="713">
        <v>8</v>
      </c>
      <c r="B32" s="734" t="s">
        <v>726</v>
      </c>
      <c r="C32" s="774">
        <f t="shared" si="9"/>
        <v>291301</v>
      </c>
      <c r="D32" s="896">
        <v>290701</v>
      </c>
      <c r="E32" s="896">
        <v>600</v>
      </c>
      <c r="F32" s="895">
        <v>0</v>
      </c>
      <c r="G32" s="774">
        <v>0</v>
      </c>
      <c r="H32" s="774">
        <f t="shared" si="3"/>
        <v>291301</v>
      </c>
      <c r="I32" s="774">
        <f t="shared" si="8"/>
        <v>600</v>
      </c>
      <c r="J32" s="896">
        <v>600</v>
      </c>
      <c r="K32" s="895">
        <v>0</v>
      </c>
      <c r="L32" s="895">
        <v>0</v>
      </c>
      <c r="M32" s="898"/>
      <c r="N32" s="895">
        <v>0</v>
      </c>
      <c r="O32" s="895">
        <v>0</v>
      </c>
      <c r="P32" s="895"/>
      <c r="Q32" s="895"/>
      <c r="R32" s="896">
        <v>290701</v>
      </c>
      <c r="S32" s="774">
        <f t="shared" si="10"/>
        <v>290701</v>
      </c>
      <c r="T32" s="888">
        <f t="shared" si="5"/>
        <v>1</v>
      </c>
    </row>
    <row r="33" spans="1:20" s="702" customFormat="1" ht="24.75" customHeight="1">
      <c r="A33" s="712">
        <v>2</v>
      </c>
      <c r="B33" s="886" t="s">
        <v>644</v>
      </c>
      <c r="C33" s="893">
        <f>D33+E33</f>
        <v>6436581</v>
      </c>
      <c r="D33" s="893">
        <f>SUM(D34:D39)</f>
        <v>5038231</v>
      </c>
      <c r="E33" s="893">
        <f>SUM(E34:E39)</f>
        <v>1398350</v>
      </c>
      <c r="F33" s="893">
        <f>SUM(F34:F39)</f>
        <v>127010</v>
      </c>
      <c r="G33" s="893">
        <f>SUM(G34:G39)</f>
        <v>0</v>
      </c>
      <c r="H33" s="893">
        <f>I33+R33</f>
        <v>6309571</v>
      </c>
      <c r="I33" s="893">
        <f>SUM(J33:Q33)</f>
        <v>3657072</v>
      </c>
      <c r="J33" s="893">
        <f aca="true" t="shared" si="11" ref="J33:S33">SUM(J34:J39)</f>
        <v>738926</v>
      </c>
      <c r="K33" s="893">
        <f t="shared" si="11"/>
        <v>30707</v>
      </c>
      <c r="L33" s="893">
        <f t="shared" si="11"/>
        <v>26409</v>
      </c>
      <c r="M33" s="893">
        <f t="shared" si="11"/>
        <v>2741030</v>
      </c>
      <c r="N33" s="893">
        <f t="shared" si="11"/>
        <v>0</v>
      </c>
      <c r="O33" s="893">
        <f t="shared" si="11"/>
        <v>0</v>
      </c>
      <c r="P33" s="893">
        <f t="shared" si="11"/>
        <v>0</v>
      </c>
      <c r="Q33" s="893">
        <f t="shared" si="11"/>
        <v>120000</v>
      </c>
      <c r="R33" s="893">
        <f t="shared" si="11"/>
        <v>2652499</v>
      </c>
      <c r="S33" s="893">
        <f t="shared" si="11"/>
        <v>5513529</v>
      </c>
      <c r="T33" s="885">
        <f t="shared" si="5"/>
        <v>0.21767195176906554</v>
      </c>
    </row>
    <row r="34" spans="1:20" s="702" customFormat="1" ht="24.75" customHeight="1">
      <c r="A34" s="713" t="s">
        <v>51</v>
      </c>
      <c r="B34" s="733" t="s">
        <v>645</v>
      </c>
      <c r="C34" s="774">
        <f aca="true" t="shared" si="12" ref="C34:C39">D34+E34</f>
        <v>210107</v>
      </c>
      <c r="D34" s="723">
        <v>166230</v>
      </c>
      <c r="E34" s="723">
        <v>43877</v>
      </c>
      <c r="F34" s="723">
        <v>400</v>
      </c>
      <c r="G34" s="774">
        <v>0</v>
      </c>
      <c r="H34" s="899">
        <f aca="true" t="shared" si="13" ref="H34:H39">I34+R34</f>
        <v>209707</v>
      </c>
      <c r="I34" s="899">
        <f aca="true" t="shared" si="14" ref="I34:I39">SUM(J34:Q34)</f>
        <v>117546</v>
      </c>
      <c r="J34" s="881">
        <v>32302</v>
      </c>
      <c r="K34" s="723">
        <v>0</v>
      </c>
      <c r="L34" s="723">
        <v>8644</v>
      </c>
      <c r="M34" s="723">
        <v>76600</v>
      </c>
      <c r="N34" s="767">
        <v>0</v>
      </c>
      <c r="O34" s="767">
        <v>0</v>
      </c>
      <c r="P34" s="767">
        <v>0</v>
      </c>
      <c r="Q34" s="767">
        <v>0</v>
      </c>
      <c r="R34" s="723">
        <v>92161</v>
      </c>
      <c r="S34" s="900">
        <f aca="true" t="shared" si="15" ref="S34:S39">C34-F34-G34-J34-K34-L34</f>
        <v>168761</v>
      </c>
      <c r="T34" s="888">
        <f t="shared" si="5"/>
        <v>0.348340224252633</v>
      </c>
    </row>
    <row r="35" spans="1:20" s="702" customFormat="1" ht="24.75" customHeight="1">
      <c r="A35" s="713" t="s">
        <v>52</v>
      </c>
      <c r="B35" s="733" t="s">
        <v>646</v>
      </c>
      <c r="C35" s="774">
        <f t="shared" si="12"/>
        <v>2513825</v>
      </c>
      <c r="D35" s="723">
        <v>1796477</v>
      </c>
      <c r="E35" s="723">
        <v>717348</v>
      </c>
      <c r="F35" s="723">
        <v>4060</v>
      </c>
      <c r="G35" s="774">
        <v>0</v>
      </c>
      <c r="H35" s="899">
        <f t="shared" si="13"/>
        <v>2509765</v>
      </c>
      <c r="I35" s="899">
        <f t="shared" si="14"/>
        <v>1463416</v>
      </c>
      <c r="J35" s="881">
        <v>122624</v>
      </c>
      <c r="K35" s="881">
        <v>300</v>
      </c>
      <c r="L35" s="723">
        <v>0</v>
      </c>
      <c r="M35" s="723">
        <v>1340492</v>
      </c>
      <c r="N35" s="767">
        <v>0</v>
      </c>
      <c r="O35" s="767">
        <v>0</v>
      </c>
      <c r="P35" s="767">
        <v>0</v>
      </c>
      <c r="Q35" s="767">
        <v>0</v>
      </c>
      <c r="R35" s="723">
        <v>1046349</v>
      </c>
      <c r="S35" s="900">
        <f t="shared" si="15"/>
        <v>2386841</v>
      </c>
      <c r="T35" s="888">
        <f t="shared" si="5"/>
        <v>0.08399798826854428</v>
      </c>
    </row>
    <row r="36" spans="1:20" s="702" customFormat="1" ht="24.75" customHeight="1">
      <c r="A36" s="713" t="s">
        <v>57</v>
      </c>
      <c r="B36" s="733" t="s">
        <v>642</v>
      </c>
      <c r="C36" s="774">
        <f t="shared" si="12"/>
        <v>701810</v>
      </c>
      <c r="D36" s="723">
        <v>584622</v>
      </c>
      <c r="E36" s="723">
        <v>117188</v>
      </c>
      <c r="F36" s="723">
        <v>51000</v>
      </c>
      <c r="G36" s="774">
        <v>0</v>
      </c>
      <c r="H36" s="899">
        <f t="shared" si="13"/>
        <v>650810</v>
      </c>
      <c r="I36" s="899">
        <f t="shared" si="14"/>
        <v>67909</v>
      </c>
      <c r="J36" s="881">
        <v>39448</v>
      </c>
      <c r="K36" s="723">
        <v>2275</v>
      </c>
      <c r="L36" s="723">
        <v>6008</v>
      </c>
      <c r="M36" s="723">
        <v>20178</v>
      </c>
      <c r="N36" s="767">
        <v>0</v>
      </c>
      <c r="O36" s="767">
        <v>0</v>
      </c>
      <c r="P36" s="767">
        <v>0</v>
      </c>
      <c r="Q36" s="767">
        <v>0</v>
      </c>
      <c r="R36" s="723">
        <v>582901</v>
      </c>
      <c r="S36" s="900">
        <f t="shared" si="15"/>
        <v>603079</v>
      </c>
      <c r="T36" s="888">
        <f t="shared" si="5"/>
        <v>0.7028670721112077</v>
      </c>
    </row>
    <row r="37" spans="1:20" s="702" customFormat="1" ht="24.75" customHeight="1">
      <c r="A37" s="713" t="s">
        <v>72</v>
      </c>
      <c r="B37" s="733" t="s">
        <v>647</v>
      </c>
      <c r="C37" s="774">
        <f t="shared" si="12"/>
        <v>1075490</v>
      </c>
      <c r="D37" s="723">
        <v>899638</v>
      </c>
      <c r="E37" s="723">
        <v>175852</v>
      </c>
      <c r="F37" s="723">
        <v>0</v>
      </c>
      <c r="G37" s="774">
        <v>0</v>
      </c>
      <c r="H37" s="899">
        <f t="shared" si="13"/>
        <v>1075490</v>
      </c>
      <c r="I37" s="899">
        <f t="shared" si="14"/>
        <v>945824</v>
      </c>
      <c r="J37" s="881">
        <v>456391</v>
      </c>
      <c r="K37" s="723">
        <v>2971</v>
      </c>
      <c r="L37" s="723">
        <v>9046</v>
      </c>
      <c r="M37" s="723">
        <v>477416</v>
      </c>
      <c r="N37" s="767">
        <v>0</v>
      </c>
      <c r="O37" s="767">
        <v>0</v>
      </c>
      <c r="P37" s="767">
        <v>0</v>
      </c>
      <c r="Q37" s="767">
        <v>0</v>
      </c>
      <c r="R37" s="723">
        <v>129666</v>
      </c>
      <c r="S37" s="900">
        <f t="shared" si="15"/>
        <v>607082</v>
      </c>
      <c r="T37" s="888">
        <f t="shared" si="5"/>
        <v>0.49523801468349293</v>
      </c>
    </row>
    <row r="38" spans="1:20" s="702" customFormat="1" ht="24.75" customHeight="1">
      <c r="A38" s="713" t="s">
        <v>73</v>
      </c>
      <c r="B38" s="733" t="s">
        <v>672</v>
      </c>
      <c r="C38" s="774">
        <f t="shared" si="12"/>
        <v>758621</v>
      </c>
      <c r="D38" s="723">
        <v>625502</v>
      </c>
      <c r="E38" s="723">
        <v>133119</v>
      </c>
      <c r="F38" s="723">
        <v>71350</v>
      </c>
      <c r="G38" s="774">
        <v>0</v>
      </c>
      <c r="H38" s="899">
        <f t="shared" si="13"/>
        <v>687271</v>
      </c>
      <c r="I38" s="899">
        <f t="shared" si="14"/>
        <v>144543</v>
      </c>
      <c r="J38" s="881">
        <v>29102</v>
      </c>
      <c r="K38" s="723">
        <v>7826</v>
      </c>
      <c r="L38" s="723">
        <v>2711</v>
      </c>
      <c r="M38" s="723">
        <v>104904</v>
      </c>
      <c r="N38" s="767">
        <v>0</v>
      </c>
      <c r="O38" s="767">
        <v>0</v>
      </c>
      <c r="P38" s="767">
        <v>0</v>
      </c>
      <c r="Q38" s="767">
        <v>0</v>
      </c>
      <c r="R38" s="723">
        <v>542728</v>
      </c>
      <c r="S38" s="900">
        <f t="shared" si="15"/>
        <v>647632</v>
      </c>
      <c r="T38" s="888">
        <f t="shared" si="5"/>
        <v>0.2742367323218696</v>
      </c>
    </row>
    <row r="39" spans="1:20" s="702" customFormat="1" ht="24.75" customHeight="1">
      <c r="A39" s="713" t="s">
        <v>74</v>
      </c>
      <c r="B39" s="734" t="s">
        <v>648</v>
      </c>
      <c r="C39" s="774">
        <f t="shared" si="12"/>
        <v>1176728</v>
      </c>
      <c r="D39" s="723">
        <v>965762</v>
      </c>
      <c r="E39" s="723">
        <v>210966</v>
      </c>
      <c r="F39" s="723">
        <v>200</v>
      </c>
      <c r="G39" s="774">
        <v>0</v>
      </c>
      <c r="H39" s="899">
        <f t="shared" si="13"/>
        <v>1176528</v>
      </c>
      <c r="I39" s="899">
        <f t="shared" si="14"/>
        <v>917834</v>
      </c>
      <c r="J39" s="723">
        <v>59059</v>
      </c>
      <c r="K39" s="723">
        <v>17335</v>
      </c>
      <c r="L39" s="723">
        <v>0</v>
      </c>
      <c r="M39" s="723">
        <v>721440</v>
      </c>
      <c r="N39" s="767">
        <v>0</v>
      </c>
      <c r="O39" s="767">
        <v>0</v>
      </c>
      <c r="P39" s="767">
        <v>0</v>
      </c>
      <c r="Q39" s="723">
        <v>120000</v>
      </c>
      <c r="R39" s="723">
        <v>258694</v>
      </c>
      <c r="S39" s="900">
        <f t="shared" si="15"/>
        <v>1100134</v>
      </c>
      <c r="T39" s="888">
        <f t="shared" si="5"/>
        <v>0.08323291575600816</v>
      </c>
    </row>
    <row r="40" spans="1:20" s="702" customFormat="1" ht="24.75" customHeight="1">
      <c r="A40" s="712">
        <v>3</v>
      </c>
      <c r="B40" s="886" t="s">
        <v>669</v>
      </c>
      <c r="C40" s="893">
        <f>D40+E40</f>
        <v>20245731</v>
      </c>
      <c r="D40" s="893">
        <f>SUM(D41:D46)</f>
        <v>18672023</v>
      </c>
      <c r="E40" s="893">
        <f>SUM(E41:E46)</f>
        <v>1573708</v>
      </c>
      <c r="F40" s="893">
        <f>SUM(F41:F46)</f>
        <v>3200</v>
      </c>
      <c r="G40" s="893">
        <f>SUM(G41:G46)</f>
        <v>0</v>
      </c>
      <c r="H40" s="893">
        <f>I40+R40</f>
        <v>20242531</v>
      </c>
      <c r="I40" s="893">
        <f>SUM(J40:Q40)</f>
        <v>5980990</v>
      </c>
      <c r="J40" s="893">
        <f aca="true" t="shared" si="16" ref="J40:R40">SUM(J41:J46)</f>
        <v>456707</v>
      </c>
      <c r="K40" s="893">
        <f t="shared" si="16"/>
        <v>259200</v>
      </c>
      <c r="L40" s="893">
        <f t="shared" si="16"/>
        <v>0</v>
      </c>
      <c r="M40" s="893">
        <f t="shared" si="16"/>
        <v>3850183</v>
      </c>
      <c r="N40" s="893">
        <f t="shared" si="16"/>
        <v>1410932</v>
      </c>
      <c r="O40" s="893">
        <f t="shared" si="16"/>
        <v>0</v>
      </c>
      <c r="P40" s="893">
        <f t="shared" si="16"/>
        <v>0</v>
      </c>
      <c r="Q40" s="893">
        <f t="shared" si="16"/>
        <v>3968</v>
      </c>
      <c r="R40" s="893">
        <f t="shared" si="16"/>
        <v>14261541</v>
      </c>
      <c r="S40" s="893">
        <f>SUM(S41:S46)</f>
        <v>19526624</v>
      </c>
      <c r="T40" s="894">
        <f t="shared" si="5"/>
        <v>0.11969707356140037</v>
      </c>
    </row>
    <row r="41" spans="1:20" s="702" customFormat="1" ht="24.75" customHeight="1">
      <c r="A41" s="831" t="s">
        <v>51</v>
      </c>
      <c r="B41" s="735" t="s">
        <v>673</v>
      </c>
      <c r="C41" s="774">
        <f aca="true" t="shared" si="17" ref="C41:C62">D41+E41</f>
        <v>266968</v>
      </c>
      <c r="D41" s="896">
        <v>255149</v>
      </c>
      <c r="E41" s="896">
        <v>11819</v>
      </c>
      <c r="F41" s="896"/>
      <c r="G41" s="896">
        <v>0</v>
      </c>
      <c r="H41" s="774">
        <f aca="true" t="shared" si="18" ref="H41:H62">I41+R41</f>
        <v>266968</v>
      </c>
      <c r="I41" s="774">
        <f aca="true" t="shared" si="19" ref="I41:I62">SUM(J41:Q41)</f>
        <v>12486</v>
      </c>
      <c r="J41" s="896">
        <v>12486</v>
      </c>
      <c r="K41" s="896"/>
      <c r="L41" s="896"/>
      <c r="M41" s="896"/>
      <c r="N41" s="896"/>
      <c r="O41" s="896"/>
      <c r="P41" s="896"/>
      <c r="Q41" s="896"/>
      <c r="R41" s="896">
        <v>254482</v>
      </c>
      <c r="S41" s="774">
        <f aca="true" t="shared" si="20" ref="S41:S46">C41-F41-G41-J41-K41-L41</f>
        <v>254482</v>
      </c>
      <c r="T41" s="888">
        <f t="shared" si="5"/>
        <v>1</v>
      </c>
    </row>
    <row r="42" spans="1:20" s="702" customFormat="1" ht="24.75" customHeight="1">
      <c r="A42" s="831" t="s">
        <v>52</v>
      </c>
      <c r="B42" s="735" t="s">
        <v>650</v>
      </c>
      <c r="C42" s="774">
        <f t="shared" si="17"/>
        <v>1722430</v>
      </c>
      <c r="D42" s="896">
        <v>1612415</v>
      </c>
      <c r="E42" s="896">
        <v>110015</v>
      </c>
      <c r="F42" s="896"/>
      <c r="G42" s="896">
        <v>0</v>
      </c>
      <c r="H42" s="774">
        <f t="shared" si="18"/>
        <v>1722430</v>
      </c>
      <c r="I42" s="774">
        <f t="shared" si="19"/>
        <v>456591</v>
      </c>
      <c r="J42" s="896">
        <v>175626</v>
      </c>
      <c r="K42" s="896"/>
      <c r="L42" s="896"/>
      <c r="M42" s="896">
        <v>280765</v>
      </c>
      <c r="N42" s="896"/>
      <c r="O42" s="896"/>
      <c r="P42" s="896"/>
      <c r="Q42" s="896">
        <v>200</v>
      </c>
      <c r="R42" s="896">
        <v>1265839</v>
      </c>
      <c r="S42" s="774">
        <f t="shared" si="20"/>
        <v>1546804</v>
      </c>
      <c r="T42" s="888">
        <f t="shared" si="5"/>
        <v>0.3846462151027944</v>
      </c>
    </row>
    <row r="43" spans="1:20" s="702" customFormat="1" ht="24.75" customHeight="1">
      <c r="A43" s="831" t="s">
        <v>57</v>
      </c>
      <c r="B43" s="735" t="s">
        <v>651</v>
      </c>
      <c r="C43" s="774">
        <f t="shared" si="17"/>
        <v>8452661</v>
      </c>
      <c r="D43" s="896">
        <v>8361700</v>
      </c>
      <c r="E43" s="896">
        <v>90961</v>
      </c>
      <c r="F43" s="896">
        <v>200</v>
      </c>
      <c r="G43" s="896">
        <v>0</v>
      </c>
      <c r="H43" s="774">
        <f t="shared" si="18"/>
        <v>8452461</v>
      </c>
      <c r="I43" s="774">
        <f t="shared" si="19"/>
        <v>277930</v>
      </c>
      <c r="J43" s="896">
        <v>75355</v>
      </c>
      <c r="K43" s="896">
        <v>15300</v>
      </c>
      <c r="L43" s="896"/>
      <c r="M43" s="896">
        <v>185607</v>
      </c>
      <c r="N43" s="896"/>
      <c r="O43" s="896"/>
      <c r="P43" s="896"/>
      <c r="Q43" s="896">
        <v>1668</v>
      </c>
      <c r="R43" s="896">
        <v>8174531</v>
      </c>
      <c r="S43" s="774">
        <f t="shared" si="20"/>
        <v>8361806</v>
      </c>
      <c r="T43" s="888">
        <f t="shared" si="5"/>
        <v>0.32617925376893464</v>
      </c>
    </row>
    <row r="44" spans="1:20" s="702" customFormat="1" ht="24.75" customHeight="1">
      <c r="A44" s="831" t="s">
        <v>72</v>
      </c>
      <c r="B44" s="735" t="s">
        <v>652</v>
      </c>
      <c r="C44" s="774">
        <f t="shared" si="17"/>
        <v>3324425</v>
      </c>
      <c r="D44" s="896">
        <v>2815711</v>
      </c>
      <c r="E44" s="896">
        <v>508714</v>
      </c>
      <c r="F44" s="896"/>
      <c r="G44" s="896">
        <v>0</v>
      </c>
      <c r="H44" s="774">
        <f t="shared" si="18"/>
        <v>3324425</v>
      </c>
      <c r="I44" s="774">
        <f t="shared" si="19"/>
        <v>2600336</v>
      </c>
      <c r="J44" s="896">
        <v>42208</v>
      </c>
      <c r="K44" s="896">
        <v>173700</v>
      </c>
      <c r="L44" s="896"/>
      <c r="M44" s="896">
        <v>2384428</v>
      </c>
      <c r="N44" s="896"/>
      <c r="O44" s="896"/>
      <c r="P44" s="896"/>
      <c r="Q44" s="896"/>
      <c r="R44" s="896">
        <v>724089</v>
      </c>
      <c r="S44" s="774">
        <f t="shared" si="20"/>
        <v>3108517</v>
      </c>
      <c r="T44" s="888">
        <f t="shared" si="5"/>
        <v>0.0830308083263086</v>
      </c>
    </row>
    <row r="45" spans="1:20" s="702" customFormat="1" ht="24.75" customHeight="1">
      <c r="A45" s="831">
        <v>5</v>
      </c>
      <c r="B45" s="735" t="s">
        <v>661</v>
      </c>
      <c r="C45" s="774">
        <f t="shared" si="17"/>
        <v>3402103</v>
      </c>
      <c r="D45" s="896">
        <v>3254194</v>
      </c>
      <c r="E45" s="896">
        <v>147909</v>
      </c>
      <c r="F45" s="896"/>
      <c r="G45" s="896"/>
      <c r="H45" s="774">
        <f t="shared" si="18"/>
        <v>3402103</v>
      </c>
      <c r="I45" s="774">
        <f t="shared" si="19"/>
        <v>1189193</v>
      </c>
      <c r="J45" s="896">
        <v>66362</v>
      </c>
      <c r="K45" s="896">
        <v>3400</v>
      </c>
      <c r="L45" s="896"/>
      <c r="M45" s="896">
        <v>491549</v>
      </c>
      <c r="N45" s="896">
        <v>626932</v>
      </c>
      <c r="O45" s="896"/>
      <c r="P45" s="896"/>
      <c r="Q45" s="896">
        <v>950</v>
      </c>
      <c r="R45" s="896">
        <v>2212910</v>
      </c>
      <c r="S45" s="774">
        <f t="shared" si="20"/>
        <v>3332341</v>
      </c>
      <c r="T45" s="888">
        <f t="shared" si="5"/>
        <v>0.058663312010750146</v>
      </c>
    </row>
    <row r="46" spans="1:20" s="702" customFormat="1" ht="24.75" customHeight="1">
      <c r="A46" s="831">
        <v>6</v>
      </c>
      <c r="B46" s="735" t="s">
        <v>717</v>
      </c>
      <c r="C46" s="774">
        <f t="shared" si="17"/>
        <v>3077144</v>
      </c>
      <c r="D46" s="896">
        <v>2372854</v>
      </c>
      <c r="E46" s="896">
        <v>704290</v>
      </c>
      <c r="F46" s="896">
        <v>3000</v>
      </c>
      <c r="G46" s="896">
        <v>0</v>
      </c>
      <c r="H46" s="774">
        <f t="shared" si="18"/>
        <v>3074144</v>
      </c>
      <c r="I46" s="774">
        <f t="shared" si="19"/>
        <v>1444454</v>
      </c>
      <c r="J46" s="896">
        <v>84670</v>
      </c>
      <c r="K46" s="896">
        <v>66800</v>
      </c>
      <c r="L46" s="896"/>
      <c r="M46" s="896">
        <v>507834</v>
      </c>
      <c r="N46" s="896">
        <v>784000</v>
      </c>
      <c r="O46" s="896"/>
      <c r="P46" s="896"/>
      <c r="Q46" s="896">
        <v>1150</v>
      </c>
      <c r="R46" s="896">
        <v>1629690</v>
      </c>
      <c r="S46" s="774">
        <f t="shared" si="20"/>
        <v>2922674</v>
      </c>
      <c r="T46" s="888">
        <f t="shared" si="5"/>
        <v>0.10486315244376075</v>
      </c>
    </row>
    <row r="47" spans="1:20" s="702" customFormat="1" ht="24.75" customHeight="1">
      <c r="A47" s="712">
        <v>4</v>
      </c>
      <c r="B47" s="886" t="s">
        <v>655</v>
      </c>
      <c r="C47" s="883">
        <f>SUM(C48:C51)</f>
        <v>12664818</v>
      </c>
      <c r="D47" s="883">
        <f>SUM(D48:D51)</f>
        <v>10602855</v>
      </c>
      <c r="E47" s="883">
        <f>SUM(E48:E51)</f>
        <v>2061963</v>
      </c>
      <c r="F47" s="883">
        <f>SUM(F48:F51)</f>
        <v>7455538</v>
      </c>
      <c r="G47" s="883">
        <f>SUM(G48:G51)</f>
        <v>0</v>
      </c>
      <c r="H47" s="883">
        <f t="shared" si="18"/>
        <v>5209280</v>
      </c>
      <c r="I47" s="883">
        <f t="shared" si="19"/>
        <v>1672581</v>
      </c>
      <c r="J47" s="883">
        <f>SUM(J48:J51)</f>
        <v>335476</v>
      </c>
      <c r="K47" s="883">
        <f>SUM(K48:K51)</f>
        <v>33421</v>
      </c>
      <c r="L47" s="883">
        <f>SUM(L48:L51)</f>
        <v>0</v>
      </c>
      <c r="M47" s="883">
        <f aca="true" t="shared" si="21" ref="M47:S47">SUM(M48:M51)</f>
        <v>1018484</v>
      </c>
      <c r="N47" s="883">
        <f t="shared" si="21"/>
        <v>285200</v>
      </c>
      <c r="O47" s="883">
        <f t="shared" si="21"/>
        <v>0</v>
      </c>
      <c r="P47" s="883">
        <f t="shared" si="21"/>
        <v>0</v>
      </c>
      <c r="Q47" s="883">
        <f t="shared" si="21"/>
        <v>0</v>
      </c>
      <c r="R47" s="883">
        <f t="shared" si="21"/>
        <v>3536699</v>
      </c>
      <c r="S47" s="901">
        <f t="shared" si="21"/>
        <v>4840383</v>
      </c>
      <c r="T47" s="885">
        <f>(K47+J47+L47)/I47</f>
        <v>0.22055553662274055</v>
      </c>
    </row>
    <row r="48" spans="1:20" s="702" customFormat="1" ht="24.75" customHeight="1">
      <c r="A48" s="713" t="s">
        <v>51</v>
      </c>
      <c r="B48" s="902" t="s">
        <v>664</v>
      </c>
      <c r="C48" s="774">
        <f t="shared" si="17"/>
        <v>811619</v>
      </c>
      <c r="D48" s="722">
        <v>770561</v>
      </c>
      <c r="E48" s="722">
        <v>41058</v>
      </c>
      <c r="F48" s="722">
        <v>250</v>
      </c>
      <c r="G48" s="775"/>
      <c r="H48" s="776">
        <f t="shared" si="18"/>
        <v>811369</v>
      </c>
      <c r="I48" s="776">
        <f t="shared" si="19"/>
        <v>115688</v>
      </c>
      <c r="J48" s="722">
        <v>32108</v>
      </c>
      <c r="K48" s="722">
        <v>15576</v>
      </c>
      <c r="L48" s="722"/>
      <c r="M48" s="722">
        <v>68004</v>
      </c>
      <c r="N48" s="722"/>
      <c r="O48" s="722"/>
      <c r="P48" s="722"/>
      <c r="Q48" s="903"/>
      <c r="R48" s="904">
        <v>695681</v>
      </c>
      <c r="S48" s="776">
        <f>C48-F48-G48-J48-K48-L48</f>
        <v>763685</v>
      </c>
      <c r="T48" s="888">
        <f t="shared" si="5"/>
        <v>0.4121775810801466</v>
      </c>
    </row>
    <row r="49" spans="1:20" s="702" customFormat="1" ht="24.75" customHeight="1">
      <c r="A49" s="713">
        <v>2</v>
      </c>
      <c r="B49" s="902" t="s">
        <v>657</v>
      </c>
      <c r="C49" s="774">
        <f t="shared" si="17"/>
        <v>2050955</v>
      </c>
      <c r="D49" s="722">
        <v>597717</v>
      </c>
      <c r="E49" s="722">
        <v>1453238</v>
      </c>
      <c r="F49" s="722"/>
      <c r="G49" s="775"/>
      <c r="H49" s="776">
        <f t="shared" si="18"/>
        <v>2050955</v>
      </c>
      <c r="I49" s="776">
        <f t="shared" si="19"/>
        <v>915233</v>
      </c>
      <c r="J49" s="722">
        <v>210145</v>
      </c>
      <c r="K49" s="722">
        <v>17845</v>
      </c>
      <c r="L49" s="722"/>
      <c r="M49" s="722">
        <v>552043</v>
      </c>
      <c r="N49" s="722">
        <v>135200</v>
      </c>
      <c r="O49" s="722"/>
      <c r="P49" s="722"/>
      <c r="Q49" s="903"/>
      <c r="R49" s="904">
        <v>1135722</v>
      </c>
      <c r="S49" s="776">
        <f>C49-F49-G49-J49-K49-L49</f>
        <v>1822965</v>
      </c>
      <c r="T49" s="888">
        <f t="shared" si="5"/>
        <v>0.24910596536619636</v>
      </c>
    </row>
    <row r="50" spans="1:20" s="702" customFormat="1" ht="24.75" customHeight="1">
      <c r="A50" s="713">
        <v>3</v>
      </c>
      <c r="B50" s="902" t="s">
        <v>653</v>
      </c>
      <c r="C50" s="774">
        <f t="shared" si="17"/>
        <v>9625267</v>
      </c>
      <c r="D50" s="722">
        <v>9134000</v>
      </c>
      <c r="E50" s="722">
        <v>491267</v>
      </c>
      <c r="F50" s="722">
        <v>7455288</v>
      </c>
      <c r="G50" s="775"/>
      <c r="H50" s="776">
        <f t="shared" si="18"/>
        <v>2169979</v>
      </c>
      <c r="I50" s="776">
        <f t="shared" si="19"/>
        <v>586148</v>
      </c>
      <c r="J50" s="722">
        <v>69223</v>
      </c>
      <c r="K50" s="722">
        <v>0</v>
      </c>
      <c r="L50" s="722"/>
      <c r="M50" s="722">
        <v>366925</v>
      </c>
      <c r="N50" s="722">
        <v>150000</v>
      </c>
      <c r="O50" s="722"/>
      <c r="P50" s="722"/>
      <c r="Q50" s="903"/>
      <c r="R50" s="904">
        <v>1583831</v>
      </c>
      <c r="S50" s="776">
        <f>C50-F50-G50-J50-K50-L50</f>
        <v>2100756</v>
      </c>
      <c r="T50" s="888">
        <f t="shared" si="5"/>
        <v>0.11809815950920245</v>
      </c>
    </row>
    <row r="51" spans="1:20" s="702" customFormat="1" ht="24.75" customHeight="1">
      <c r="A51" s="713">
        <v>4</v>
      </c>
      <c r="B51" s="902" t="s">
        <v>729</v>
      </c>
      <c r="C51" s="774">
        <f t="shared" si="17"/>
        <v>176977</v>
      </c>
      <c r="D51" s="896">
        <v>100577</v>
      </c>
      <c r="E51" s="896">
        <v>76400</v>
      </c>
      <c r="F51" s="896"/>
      <c r="G51" s="775"/>
      <c r="H51" s="776">
        <f t="shared" si="18"/>
        <v>176977</v>
      </c>
      <c r="I51" s="776">
        <f t="shared" si="19"/>
        <v>55512</v>
      </c>
      <c r="J51" s="896">
        <v>24000</v>
      </c>
      <c r="K51" s="896"/>
      <c r="L51" s="896"/>
      <c r="M51" s="896">
        <v>31512</v>
      </c>
      <c r="N51" s="896"/>
      <c r="O51" s="896"/>
      <c r="P51" s="896"/>
      <c r="Q51" s="896"/>
      <c r="R51" s="904">
        <v>121465</v>
      </c>
      <c r="S51" s="776">
        <f>C51-F51-G51-J51-K51-L51</f>
        <v>152977</v>
      </c>
      <c r="T51" s="888">
        <f t="shared" si="5"/>
        <v>0.43233895373973197</v>
      </c>
    </row>
    <row r="52" spans="1:20" s="702" customFormat="1" ht="24.75" customHeight="1">
      <c r="A52" s="712">
        <v>5</v>
      </c>
      <c r="B52" s="886" t="s">
        <v>658</v>
      </c>
      <c r="C52" s="883">
        <f>D52+E52</f>
        <v>5756664</v>
      </c>
      <c r="D52" s="901">
        <f>SUM(D53:D56)</f>
        <v>4446120</v>
      </c>
      <c r="E52" s="901">
        <f>SUM(E53:E56)</f>
        <v>1310544</v>
      </c>
      <c r="F52" s="901">
        <f>SUM(F53:F56)</f>
        <v>13900</v>
      </c>
      <c r="G52" s="883">
        <f>SUM(G53:G56)</f>
        <v>0</v>
      </c>
      <c r="H52" s="883">
        <f t="shared" si="18"/>
        <v>5742764</v>
      </c>
      <c r="I52" s="883">
        <f t="shared" si="19"/>
        <v>2835906</v>
      </c>
      <c r="J52" s="883">
        <f aca="true" t="shared" si="22" ref="J52:R52">SUM(J53:J56)</f>
        <v>805406</v>
      </c>
      <c r="K52" s="883">
        <f t="shared" si="22"/>
        <v>124430</v>
      </c>
      <c r="L52" s="883">
        <f t="shared" si="22"/>
        <v>0</v>
      </c>
      <c r="M52" s="883">
        <f t="shared" si="22"/>
        <v>1906070</v>
      </c>
      <c r="N52" s="883">
        <f t="shared" si="22"/>
        <v>0</v>
      </c>
      <c r="O52" s="883">
        <f t="shared" si="22"/>
        <v>0</v>
      </c>
      <c r="P52" s="883">
        <f t="shared" si="22"/>
        <v>0</v>
      </c>
      <c r="Q52" s="883">
        <f t="shared" si="22"/>
        <v>0</v>
      </c>
      <c r="R52" s="883">
        <f t="shared" si="22"/>
        <v>2906858</v>
      </c>
      <c r="S52" s="883">
        <f>SUM(S53:S56)</f>
        <v>4812928</v>
      </c>
      <c r="T52" s="885">
        <f t="shared" si="5"/>
        <v>0.32787969699983005</v>
      </c>
    </row>
    <row r="53" spans="1:20" s="702" customFormat="1" ht="24.75" customHeight="1">
      <c r="A53" s="713" t="s">
        <v>51</v>
      </c>
      <c r="B53" s="905" t="s">
        <v>659</v>
      </c>
      <c r="C53" s="774">
        <f>D53+E53</f>
        <v>434067</v>
      </c>
      <c r="D53" s="723">
        <v>335255</v>
      </c>
      <c r="E53" s="723">
        <v>98812</v>
      </c>
      <c r="F53" s="723"/>
      <c r="G53" s="767"/>
      <c r="H53" s="774">
        <f t="shared" si="18"/>
        <v>434067</v>
      </c>
      <c r="I53" s="774">
        <f t="shared" si="19"/>
        <v>206699</v>
      </c>
      <c r="J53" s="723">
        <v>68882</v>
      </c>
      <c r="K53" s="723">
        <v>20500</v>
      </c>
      <c r="L53" s="723"/>
      <c r="M53" s="723">
        <v>117317</v>
      </c>
      <c r="N53" s="723"/>
      <c r="O53" s="727"/>
      <c r="P53" s="727"/>
      <c r="Q53" s="727"/>
      <c r="R53" s="728">
        <v>227368</v>
      </c>
      <c r="S53" s="774">
        <f>C53-F53-G53-J53-K53-L53</f>
        <v>344685</v>
      </c>
      <c r="T53" s="888">
        <f t="shared" si="5"/>
        <v>0.43242589465841635</v>
      </c>
    </row>
    <row r="54" spans="1:20" s="702" customFormat="1" ht="24.75" customHeight="1">
      <c r="A54" s="713">
        <v>2</v>
      </c>
      <c r="B54" s="905" t="s">
        <v>660</v>
      </c>
      <c r="C54" s="774">
        <f>D54+E54</f>
        <v>1033904</v>
      </c>
      <c r="D54" s="723">
        <v>888908</v>
      </c>
      <c r="E54" s="723">
        <v>144996</v>
      </c>
      <c r="F54" s="723">
        <v>12000</v>
      </c>
      <c r="G54" s="767"/>
      <c r="H54" s="774">
        <f t="shared" si="18"/>
        <v>1021904</v>
      </c>
      <c r="I54" s="774">
        <f t="shared" si="19"/>
        <v>491347</v>
      </c>
      <c r="J54" s="723">
        <v>100956</v>
      </c>
      <c r="K54" s="723">
        <v>17968</v>
      </c>
      <c r="L54" s="723"/>
      <c r="M54" s="723">
        <v>372423</v>
      </c>
      <c r="N54" s="723">
        <v>0</v>
      </c>
      <c r="O54" s="727"/>
      <c r="P54" s="727"/>
      <c r="Q54" s="727"/>
      <c r="R54" s="728">
        <v>530557</v>
      </c>
      <c r="S54" s="774">
        <f>C54-F54-G54-J54-K54-L54</f>
        <v>902980</v>
      </c>
      <c r="T54" s="888">
        <f t="shared" si="5"/>
        <v>0.2420366869035529</v>
      </c>
    </row>
    <row r="55" spans="1:20" s="702" customFormat="1" ht="24.75" customHeight="1">
      <c r="A55" s="713">
        <v>3</v>
      </c>
      <c r="B55" s="905" t="s">
        <v>654</v>
      </c>
      <c r="C55" s="774">
        <f>D55+E55</f>
        <v>2500456</v>
      </c>
      <c r="D55" s="723">
        <v>2101168</v>
      </c>
      <c r="E55" s="723">
        <v>399288</v>
      </c>
      <c r="F55" s="723"/>
      <c r="G55" s="767"/>
      <c r="H55" s="774">
        <f t="shared" si="18"/>
        <v>2500456</v>
      </c>
      <c r="I55" s="774">
        <f t="shared" si="19"/>
        <v>838417</v>
      </c>
      <c r="J55" s="723">
        <v>376820</v>
      </c>
      <c r="K55" s="723">
        <v>85186</v>
      </c>
      <c r="L55" s="723"/>
      <c r="M55" s="723">
        <v>376411</v>
      </c>
      <c r="N55" s="723"/>
      <c r="O55" s="727"/>
      <c r="P55" s="727"/>
      <c r="Q55" s="727"/>
      <c r="R55" s="728">
        <v>1662039</v>
      </c>
      <c r="S55" s="774">
        <f>C55-F55-G55-J55-K55-L55</f>
        <v>2038450</v>
      </c>
      <c r="T55" s="888">
        <f t="shared" si="5"/>
        <v>0.5510456014131393</v>
      </c>
    </row>
    <row r="56" spans="1:20" s="702" customFormat="1" ht="24.75" customHeight="1">
      <c r="A56" s="713">
        <v>4</v>
      </c>
      <c r="B56" s="905" t="s">
        <v>662</v>
      </c>
      <c r="C56" s="774">
        <f>D56+E56</f>
        <v>1788237</v>
      </c>
      <c r="D56" s="723">
        <v>1120789</v>
      </c>
      <c r="E56" s="723">
        <v>667448</v>
      </c>
      <c r="F56" s="723">
        <v>1900</v>
      </c>
      <c r="G56" s="767"/>
      <c r="H56" s="774">
        <f t="shared" si="18"/>
        <v>1786337</v>
      </c>
      <c r="I56" s="774">
        <f t="shared" si="19"/>
        <v>1299443</v>
      </c>
      <c r="J56" s="723">
        <v>258748</v>
      </c>
      <c r="K56" s="723">
        <v>776</v>
      </c>
      <c r="L56" s="723"/>
      <c r="M56" s="723">
        <v>1039919</v>
      </c>
      <c r="N56" s="723"/>
      <c r="O56" s="727"/>
      <c r="P56" s="727"/>
      <c r="Q56" s="727"/>
      <c r="R56" s="728">
        <v>486894</v>
      </c>
      <c r="S56" s="774">
        <f>C56-F56-G56-J56-K56-L56</f>
        <v>1526813</v>
      </c>
      <c r="T56" s="888">
        <f t="shared" si="5"/>
        <v>0.1997194182430472</v>
      </c>
    </row>
    <row r="57" spans="1:20" s="702" customFormat="1" ht="24.75" customHeight="1">
      <c r="A57" s="712">
        <v>6</v>
      </c>
      <c r="B57" s="886" t="s">
        <v>663</v>
      </c>
      <c r="C57" s="883">
        <f t="shared" si="17"/>
        <v>1323589</v>
      </c>
      <c r="D57" s="883">
        <f>D58+D59</f>
        <v>1051654</v>
      </c>
      <c r="E57" s="883">
        <f>SUM(E58:E59)</f>
        <v>271935</v>
      </c>
      <c r="F57" s="883">
        <f>SUM(F58:F59)</f>
        <v>0</v>
      </c>
      <c r="G57" s="883">
        <f>SUM(G58:G59)</f>
        <v>0</v>
      </c>
      <c r="H57" s="883">
        <f t="shared" si="18"/>
        <v>1323589</v>
      </c>
      <c r="I57" s="883">
        <f t="shared" si="19"/>
        <v>408641</v>
      </c>
      <c r="J57" s="883">
        <f aca="true" t="shared" si="23" ref="J57:S57">SUM(J58:J59)</f>
        <v>77321</v>
      </c>
      <c r="K57" s="883">
        <f t="shared" si="23"/>
        <v>0</v>
      </c>
      <c r="L57" s="883">
        <f t="shared" si="23"/>
        <v>0</v>
      </c>
      <c r="M57" s="883">
        <f t="shared" si="23"/>
        <v>331320</v>
      </c>
      <c r="N57" s="883">
        <f t="shared" si="23"/>
        <v>0</v>
      </c>
      <c r="O57" s="883">
        <f t="shared" si="23"/>
        <v>0</v>
      </c>
      <c r="P57" s="883">
        <f t="shared" si="23"/>
        <v>0</v>
      </c>
      <c r="Q57" s="883">
        <f t="shared" si="23"/>
        <v>0</v>
      </c>
      <c r="R57" s="883">
        <f t="shared" si="23"/>
        <v>914948</v>
      </c>
      <c r="S57" s="883">
        <f t="shared" si="23"/>
        <v>1246268</v>
      </c>
      <c r="T57" s="885">
        <f t="shared" si="5"/>
        <v>0.18921498332276987</v>
      </c>
    </row>
    <row r="58" spans="1:20" s="702" customFormat="1" ht="24.75" customHeight="1">
      <c r="A58" s="713" t="s">
        <v>51</v>
      </c>
      <c r="B58" s="902" t="s">
        <v>656</v>
      </c>
      <c r="C58" s="774">
        <f t="shared" si="17"/>
        <v>759805</v>
      </c>
      <c r="D58" s="723">
        <v>666435</v>
      </c>
      <c r="E58" s="723">
        <v>93370</v>
      </c>
      <c r="F58" s="767"/>
      <c r="G58" s="723"/>
      <c r="H58" s="906">
        <f t="shared" si="18"/>
        <v>759805</v>
      </c>
      <c r="I58" s="906">
        <f>SUM(J58:Q58)</f>
        <v>197676</v>
      </c>
      <c r="J58" s="723">
        <v>24956</v>
      </c>
      <c r="K58" s="723">
        <v>0</v>
      </c>
      <c r="L58" s="723">
        <v>0</v>
      </c>
      <c r="M58" s="723">
        <v>172720</v>
      </c>
      <c r="N58" s="723">
        <v>0</v>
      </c>
      <c r="O58" s="727">
        <v>0</v>
      </c>
      <c r="P58" s="727">
        <v>0</v>
      </c>
      <c r="Q58" s="727">
        <v>0</v>
      </c>
      <c r="R58" s="832">
        <v>562129</v>
      </c>
      <c r="S58" s="774">
        <f>C58-F58-G58-J58-K58-L58</f>
        <v>734849</v>
      </c>
      <c r="T58" s="888">
        <f t="shared" si="5"/>
        <v>0.1262469900240798</v>
      </c>
    </row>
    <row r="59" spans="1:20" s="702" customFormat="1" ht="24.75" customHeight="1">
      <c r="A59" s="713" t="s">
        <v>52</v>
      </c>
      <c r="B59" s="902" t="s">
        <v>665</v>
      </c>
      <c r="C59" s="774">
        <f t="shared" si="17"/>
        <v>563784</v>
      </c>
      <c r="D59" s="907">
        <v>385219</v>
      </c>
      <c r="E59" s="723">
        <v>178565</v>
      </c>
      <c r="F59" s="908"/>
      <c r="G59" s="907"/>
      <c r="H59" s="906">
        <f t="shared" si="18"/>
        <v>563784</v>
      </c>
      <c r="I59" s="906">
        <f t="shared" si="19"/>
        <v>210965</v>
      </c>
      <c r="J59" s="907">
        <v>52365</v>
      </c>
      <c r="K59" s="907">
        <v>0</v>
      </c>
      <c r="L59" s="907">
        <v>0</v>
      </c>
      <c r="M59" s="723">
        <v>158600</v>
      </c>
      <c r="N59" s="907">
        <v>0</v>
      </c>
      <c r="O59" s="909">
        <v>0</v>
      </c>
      <c r="P59" s="909">
        <v>0</v>
      </c>
      <c r="Q59" s="909">
        <v>0</v>
      </c>
      <c r="R59" s="832">
        <v>352819</v>
      </c>
      <c r="S59" s="774">
        <f>C59-F59-G59-J59-K59-L59</f>
        <v>511419</v>
      </c>
      <c r="T59" s="888">
        <f t="shared" si="5"/>
        <v>0.24821652880809614</v>
      </c>
    </row>
    <row r="60" spans="1:20" s="702" customFormat="1" ht="24.75" customHeight="1">
      <c r="A60" s="712">
        <v>7</v>
      </c>
      <c r="B60" s="886" t="s">
        <v>666</v>
      </c>
      <c r="C60" s="901">
        <f t="shared" si="17"/>
        <v>2376517</v>
      </c>
      <c r="D60" s="901">
        <f>SUM(D61:D62)</f>
        <v>1844360</v>
      </c>
      <c r="E60" s="901">
        <f aca="true" t="shared" si="24" ref="E60:S60">SUM(E61:E62)</f>
        <v>532157</v>
      </c>
      <c r="F60" s="901">
        <f t="shared" si="24"/>
        <v>0</v>
      </c>
      <c r="G60" s="901">
        <f t="shared" si="24"/>
        <v>0</v>
      </c>
      <c r="H60" s="901">
        <f t="shared" si="24"/>
        <v>2376517</v>
      </c>
      <c r="I60" s="901">
        <f t="shared" si="24"/>
        <v>766207</v>
      </c>
      <c r="J60" s="901">
        <f t="shared" si="24"/>
        <v>154454</v>
      </c>
      <c r="K60" s="901">
        <f t="shared" si="24"/>
        <v>0</v>
      </c>
      <c r="L60" s="901">
        <f t="shared" si="24"/>
        <v>0</v>
      </c>
      <c r="M60" s="901">
        <f t="shared" si="24"/>
        <v>611753</v>
      </c>
      <c r="N60" s="901">
        <f t="shared" si="24"/>
        <v>0</v>
      </c>
      <c r="O60" s="901">
        <f t="shared" si="24"/>
        <v>0</v>
      </c>
      <c r="P60" s="901">
        <f t="shared" si="24"/>
        <v>0</v>
      </c>
      <c r="Q60" s="901">
        <f t="shared" si="24"/>
        <v>0</v>
      </c>
      <c r="R60" s="901">
        <f t="shared" si="24"/>
        <v>1610310</v>
      </c>
      <c r="S60" s="901">
        <f t="shared" si="24"/>
        <v>2222063</v>
      </c>
      <c r="T60" s="885">
        <f t="shared" si="5"/>
        <v>0.2015826010464535</v>
      </c>
    </row>
    <row r="61" spans="1:20" s="702" customFormat="1" ht="24.75" customHeight="1">
      <c r="A61" s="834">
        <v>1</v>
      </c>
      <c r="B61" s="910" t="s">
        <v>667</v>
      </c>
      <c r="C61" s="774">
        <f t="shared" si="17"/>
        <v>197800</v>
      </c>
      <c r="D61" s="881">
        <v>116700</v>
      </c>
      <c r="E61" s="724">
        <v>81100</v>
      </c>
      <c r="F61" s="725"/>
      <c r="G61" s="911"/>
      <c r="H61" s="774">
        <f t="shared" si="18"/>
        <v>197800</v>
      </c>
      <c r="I61" s="774">
        <f t="shared" si="19"/>
        <v>75100</v>
      </c>
      <c r="J61" s="724">
        <v>5800</v>
      </c>
      <c r="K61" s="724">
        <v>0</v>
      </c>
      <c r="L61" s="912">
        <v>0</v>
      </c>
      <c r="M61" s="912">
        <v>69300</v>
      </c>
      <c r="N61" s="913">
        <v>0</v>
      </c>
      <c r="O61" s="724">
        <v>0</v>
      </c>
      <c r="P61" s="724">
        <v>0</v>
      </c>
      <c r="Q61" s="724">
        <v>0</v>
      </c>
      <c r="R61" s="724">
        <v>122700</v>
      </c>
      <c r="S61" s="774">
        <f>C61-F61-G61-J61-K61-L61</f>
        <v>192000</v>
      </c>
      <c r="T61" s="888">
        <f t="shared" si="5"/>
        <v>0.07723035952063914</v>
      </c>
    </row>
    <row r="62" spans="1:20" s="702" customFormat="1" ht="24.75" customHeight="1">
      <c r="A62" s="713">
        <v>2</v>
      </c>
      <c r="B62" s="910" t="s">
        <v>668</v>
      </c>
      <c r="C62" s="774">
        <f t="shared" si="17"/>
        <v>2178717</v>
      </c>
      <c r="D62" s="881">
        <v>1727660</v>
      </c>
      <c r="E62" s="724">
        <v>451057</v>
      </c>
      <c r="F62" s="725"/>
      <c r="G62" s="911"/>
      <c r="H62" s="774">
        <f t="shared" si="18"/>
        <v>2178717</v>
      </c>
      <c r="I62" s="774">
        <f t="shared" si="19"/>
        <v>691107</v>
      </c>
      <c r="J62" s="724">
        <v>148654</v>
      </c>
      <c r="K62" s="724"/>
      <c r="L62" s="912">
        <v>0</v>
      </c>
      <c r="M62" s="912">
        <v>542453</v>
      </c>
      <c r="N62" s="913">
        <v>0</v>
      </c>
      <c r="O62" s="724">
        <v>0</v>
      </c>
      <c r="P62" s="724">
        <v>0</v>
      </c>
      <c r="Q62" s="724">
        <v>0</v>
      </c>
      <c r="R62" s="724">
        <v>1487610</v>
      </c>
      <c r="S62" s="774">
        <f>C62-F62-G62-J62-K62-L62</f>
        <v>2030063</v>
      </c>
      <c r="T62" s="888">
        <f t="shared" si="5"/>
        <v>0.21509549172559386</v>
      </c>
    </row>
    <row r="63" spans="1:22" s="442" customFormat="1" ht="24.75" customHeight="1" thickBot="1">
      <c r="A63" s="1422"/>
      <c r="B63" s="1422"/>
      <c r="C63" s="1422"/>
      <c r="D63" s="1422"/>
      <c r="E63" s="1422"/>
      <c r="F63" s="1422"/>
      <c r="G63" s="1422"/>
      <c r="H63" s="1422"/>
      <c r="I63" s="1422"/>
      <c r="J63" s="1422"/>
      <c r="K63" s="1422"/>
      <c r="L63" s="1422"/>
      <c r="M63" s="1422"/>
      <c r="N63" s="1422"/>
      <c r="O63" s="1422"/>
      <c r="P63" s="1422"/>
      <c r="Q63" s="1422"/>
      <c r="R63" s="1422"/>
      <c r="S63" s="1422"/>
      <c r="T63" s="1422"/>
      <c r="U63" s="1422"/>
      <c r="V63" s="1422"/>
    </row>
    <row r="64" spans="1:20" s="433" customFormat="1" ht="21.75" customHeight="1" thickTop="1">
      <c r="A64" s="1411"/>
      <c r="B64" s="1411"/>
      <c r="C64" s="1411"/>
      <c r="D64" s="1411"/>
      <c r="E64" s="1411"/>
      <c r="F64" s="714"/>
      <c r="G64" s="715"/>
      <c r="H64" s="715"/>
      <c r="I64" s="715"/>
      <c r="J64" s="715"/>
      <c r="K64" s="715"/>
      <c r="L64" s="715"/>
      <c r="M64" s="715"/>
      <c r="N64" s="715"/>
      <c r="O64" s="1403" t="str">
        <f>'Thong tin'!B8</f>
        <v>Tuyên Quang, ngày 05 tháng 01 năm 2018</v>
      </c>
      <c r="P64" s="1403"/>
      <c r="Q64" s="1403"/>
      <c r="R64" s="1403"/>
      <c r="S64" s="1403"/>
      <c r="T64" s="1403"/>
    </row>
    <row r="65" spans="1:20" s="499" customFormat="1" ht="22.5" customHeight="1">
      <c r="A65" s="716"/>
      <c r="B65" s="1396" t="s">
        <v>4</v>
      </c>
      <c r="C65" s="1396"/>
      <c r="D65" s="1396"/>
      <c r="E65" s="1396"/>
      <c r="F65" s="717"/>
      <c r="G65" s="717"/>
      <c r="H65" s="717"/>
      <c r="I65" s="717"/>
      <c r="J65" s="717"/>
      <c r="K65" s="717"/>
      <c r="L65" s="717"/>
      <c r="M65" s="717"/>
      <c r="N65" s="717"/>
      <c r="O65" s="1400" t="str">
        <f>'Thong tin'!B7</f>
        <v>CỤC TRƯỞNG</v>
      </c>
      <c r="P65" s="1400"/>
      <c r="Q65" s="1400"/>
      <c r="R65" s="1400"/>
      <c r="S65" s="1400"/>
      <c r="T65" s="1400"/>
    </row>
    <row r="66" spans="1:20" ht="18.75">
      <c r="A66" s="534"/>
      <c r="B66" s="1328"/>
      <c r="C66" s="1328"/>
      <c r="D66" s="1328"/>
      <c r="E66" s="540"/>
      <c r="F66" s="540"/>
      <c r="G66" s="540"/>
      <c r="H66" s="540"/>
      <c r="I66" s="540"/>
      <c r="J66" s="540"/>
      <c r="K66" s="540"/>
      <c r="L66" s="540"/>
      <c r="M66" s="540"/>
      <c r="N66" s="540"/>
      <c r="O66" s="1335"/>
      <c r="P66" s="1335"/>
      <c r="Q66" s="1335"/>
      <c r="R66" s="1335"/>
      <c r="S66" s="1335"/>
      <c r="T66" s="1335"/>
    </row>
    <row r="67" spans="1:20" ht="18.75">
      <c r="A67" s="534"/>
      <c r="B67" s="534"/>
      <c r="C67" s="534"/>
      <c r="D67" s="540"/>
      <c r="E67" s="540"/>
      <c r="F67" s="540"/>
      <c r="G67" s="540"/>
      <c r="H67" s="540"/>
      <c r="I67" s="540"/>
      <c r="J67" s="540"/>
      <c r="K67" s="540"/>
      <c r="L67" s="540"/>
      <c r="M67" s="540"/>
      <c r="N67" s="540"/>
      <c r="O67" s="540"/>
      <c r="P67" s="540"/>
      <c r="Q67" s="540"/>
      <c r="R67" s="540"/>
      <c r="S67" s="534"/>
      <c r="T67" s="534"/>
    </row>
    <row r="68" spans="1:20" ht="15.75">
      <c r="A68" s="528"/>
      <c r="B68" s="1415"/>
      <c r="C68" s="1415"/>
      <c r="D68" s="1415"/>
      <c r="E68" s="552"/>
      <c r="F68" s="552"/>
      <c r="G68" s="552"/>
      <c r="H68" s="552"/>
      <c r="I68" s="552"/>
      <c r="J68" s="552"/>
      <c r="K68" s="552"/>
      <c r="L68" s="552"/>
      <c r="M68" s="552"/>
      <c r="N68" s="552"/>
      <c r="O68" s="552"/>
      <c r="P68" s="552"/>
      <c r="Q68" s="1415"/>
      <c r="R68" s="1415"/>
      <c r="S68" s="1415"/>
      <c r="T68" s="528"/>
    </row>
    <row r="69" spans="1:20" ht="15.75" customHeight="1">
      <c r="A69" s="553"/>
      <c r="B69" s="547"/>
      <c r="C69" s="547"/>
      <c r="D69" s="554"/>
      <c r="E69" s="554"/>
      <c r="F69" s="554"/>
      <c r="G69" s="554"/>
      <c r="H69" s="554"/>
      <c r="I69" s="554"/>
      <c r="J69" s="554"/>
      <c r="K69" s="554"/>
      <c r="L69" s="554"/>
      <c r="M69" s="554"/>
      <c r="N69" s="554"/>
      <c r="O69" s="554"/>
      <c r="P69" s="554"/>
      <c r="Q69" s="554"/>
      <c r="R69" s="554"/>
      <c r="S69" s="547"/>
      <c r="T69" s="547"/>
    </row>
    <row r="70" spans="1:20" ht="15.75" customHeight="1">
      <c r="A70" s="528"/>
      <c r="B70" s="1342"/>
      <c r="C70" s="1342"/>
      <c r="D70" s="1342"/>
      <c r="E70" s="1342"/>
      <c r="F70" s="1342"/>
      <c r="G70" s="1342"/>
      <c r="H70" s="1342"/>
      <c r="I70" s="1342"/>
      <c r="J70" s="1342"/>
      <c r="K70" s="1342"/>
      <c r="L70" s="1342"/>
      <c r="M70" s="1342"/>
      <c r="N70" s="1342"/>
      <c r="O70" s="1342"/>
      <c r="P70" s="1342"/>
      <c r="Q70" s="552"/>
      <c r="R70" s="552"/>
      <c r="S70" s="528"/>
      <c r="T70" s="528"/>
    </row>
    <row r="71" spans="1:20" ht="15.75">
      <c r="A71" s="555"/>
      <c r="B71" s="555"/>
      <c r="C71" s="555"/>
      <c r="D71" s="555"/>
      <c r="E71" s="555"/>
      <c r="F71" s="555"/>
      <c r="G71" s="555"/>
      <c r="H71" s="555"/>
      <c r="I71" s="555"/>
      <c r="J71" s="555"/>
      <c r="K71" s="555"/>
      <c r="L71" s="555"/>
      <c r="M71" s="555"/>
      <c r="N71" s="555"/>
      <c r="O71" s="555"/>
      <c r="P71" s="555"/>
      <c r="Q71" s="555"/>
      <c r="R71" s="528"/>
      <c r="S71" s="528"/>
      <c r="T71" s="528"/>
    </row>
    <row r="72" spans="1:20" ht="18.75">
      <c r="A72" s="528"/>
      <c r="B72" s="1305" t="str">
        <f>'Thong tin'!B5</f>
        <v>Duy Thị Thúy</v>
      </c>
      <c r="C72" s="1305"/>
      <c r="D72" s="1305"/>
      <c r="E72" s="1305"/>
      <c r="F72" s="547"/>
      <c r="G72" s="547"/>
      <c r="H72" s="547"/>
      <c r="I72" s="547"/>
      <c r="J72" s="547"/>
      <c r="K72" s="547"/>
      <c r="L72" s="547"/>
      <c r="M72" s="547"/>
      <c r="N72" s="547"/>
      <c r="O72" s="1305" t="str">
        <f>'Thong tin'!B6</f>
        <v>Nguyễn Tuyên </v>
      </c>
      <c r="P72" s="1305"/>
      <c r="Q72" s="1305"/>
      <c r="R72" s="1305"/>
      <c r="S72" s="1305"/>
      <c r="T72" s="1305"/>
    </row>
    <row r="73" spans="2:20" ht="18.75">
      <c r="B73" s="1413"/>
      <c r="C73" s="1413"/>
      <c r="D73" s="1413"/>
      <c r="E73" s="1413"/>
      <c r="F73" s="442"/>
      <c r="G73" s="442"/>
      <c r="H73" s="442"/>
      <c r="I73" s="442"/>
      <c r="J73" s="442"/>
      <c r="K73" s="442"/>
      <c r="L73" s="442"/>
      <c r="M73" s="442"/>
      <c r="N73" s="442"/>
      <c r="O73" s="442"/>
      <c r="P73" s="1413"/>
      <c r="Q73" s="1413"/>
      <c r="R73" s="1413"/>
      <c r="S73" s="1413"/>
      <c r="T73" s="1414"/>
    </row>
  </sheetData>
  <sheetProtection/>
  <mergeCells count="40">
    <mergeCell ref="B68:D68"/>
    <mergeCell ref="O66:T66"/>
    <mergeCell ref="B66:D66"/>
    <mergeCell ref="A6:B9"/>
    <mergeCell ref="Q5:T5"/>
    <mergeCell ref="D7:E7"/>
    <mergeCell ref="D8:D9"/>
    <mergeCell ref="E8:E9"/>
    <mergeCell ref="J8:Q8"/>
    <mergeCell ref="A63:V63"/>
    <mergeCell ref="R7:R9"/>
    <mergeCell ref="A3:D3"/>
    <mergeCell ref="A64:E64"/>
    <mergeCell ref="Q4:T4"/>
    <mergeCell ref="B73:E73"/>
    <mergeCell ref="P73:T73"/>
    <mergeCell ref="B72:E72"/>
    <mergeCell ref="B70:P70"/>
    <mergeCell ref="O72:T72"/>
    <mergeCell ref="Q68:S68"/>
    <mergeCell ref="C7:C9"/>
    <mergeCell ref="E1:P1"/>
    <mergeCell ref="E2:P2"/>
    <mergeCell ref="E3:P3"/>
    <mergeCell ref="F6:F9"/>
    <mergeCell ref="G6:G9"/>
    <mergeCell ref="H6:R6"/>
    <mergeCell ref="C6:E6"/>
    <mergeCell ref="I7:Q7"/>
    <mergeCell ref="I8:I9"/>
    <mergeCell ref="B23:S23"/>
    <mergeCell ref="A2:D2"/>
    <mergeCell ref="Q2:T2"/>
    <mergeCell ref="B65:E65"/>
    <mergeCell ref="A10:B10"/>
    <mergeCell ref="H7:H9"/>
    <mergeCell ref="O65:T65"/>
    <mergeCell ref="T6:T9"/>
    <mergeCell ref="O64:T64"/>
    <mergeCell ref="S6:S9"/>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10"/>
  </sheetPr>
  <dimension ref="A1:AC48"/>
  <sheetViews>
    <sheetView zoomScaleSheetLayoutView="100" zoomScalePageLayoutView="0" workbookViewId="0" topLeftCell="A4">
      <selection activeCell="A13" sqref="A13:IV13"/>
    </sheetView>
  </sheetViews>
  <sheetFormatPr defaultColWidth="9.00390625" defaultRowHeight="15.75"/>
  <cols>
    <col min="1" max="1" width="3.50390625" style="564" customWidth="1"/>
    <col min="2" max="2" width="25.625" style="564" customWidth="1"/>
    <col min="3" max="8" width="5.75390625" style="564" customWidth="1"/>
    <col min="9" max="15" width="6.625" style="564" customWidth="1"/>
    <col min="16" max="21" width="5.75390625" style="564" customWidth="1"/>
    <col min="22" max="16384" width="9.00390625" style="564" customWidth="1"/>
  </cols>
  <sheetData>
    <row r="1" spans="1:22" ht="21" customHeight="1">
      <c r="A1" s="1423" t="s">
        <v>567</v>
      </c>
      <c r="B1" s="1423"/>
      <c r="C1" s="1423"/>
      <c r="D1" s="1423"/>
      <c r="E1" s="560"/>
      <c r="F1" s="1424" t="s">
        <v>568</v>
      </c>
      <c r="G1" s="1424"/>
      <c r="H1" s="1424"/>
      <c r="I1" s="1424"/>
      <c r="J1" s="1424"/>
      <c r="K1" s="1424"/>
      <c r="L1" s="1424"/>
      <c r="M1" s="1424"/>
      <c r="N1" s="1424"/>
      <c r="O1" s="561"/>
      <c r="P1" s="562" t="s">
        <v>398</v>
      </c>
      <c r="Q1" s="563"/>
      <c r="R1" s="563"/>
      <c r="S1" s="563"/>
      <c r="T1" s="563"/>
      <c r="V1" s="565"/>
    </row>
    <row r="2" spans="1:22" ht="21.75" customHeight="1">
      <c r="A2" s="1425" t="s">
        <v>682</v>
      </c>
      <c r="B2" s="1425"/>
      <c r="C2" s="1425"/>
      <c r="D2" s="1425"/>
      <c r="E2" s="1425"/>
      <c r="F2" s="1424"/>
      <c r="G2" s="1424"/>
      <c r="H2" s="1424"/>
      <c r="I2" s="1424"/>
      <c r="J2" s="1424"/>
      <c r="K2" s="1424"/>
      <c r="L2" s="1424"/>
      <c r="M2" s="1424"/>
      <c r="N2" s="1424"/>
      <c r="O2" s="561"/>
      <c r="P2" s="664" t="str">
        <f>'Thong tin'!B4</f>
        <v>Cục THADS tỉnh Tuyên Quang</v>
      </c>
      <c r="Q2" s="665"/>
      <c r="R2" s="666"/>
      <c r="S2" s="666"/>
      <c r="T2" s="666"/>
      <c r="U2" s="621"/>
      <c r="V2" s="565"/>
    </row>
    <row r="3" spans="1:20" ht="16.5" customHeight="1">
      <c r="A3" s="1425" t="s">
        <v>343</v>
      </c>
      <c r="B3" s="1425"/>
      <c r="C3" s="1425"/>
      <c r="D3" s="1425"/>
      <c r="E3" s="1425"/>
      <c r="F3" s="1426" t="str">
        <f>'Thong tin'!B3</f>
        <v>03 tháng / năm 2018</v>
      </c>
      <c r="G3" s="1427"/>
      <c r="H3" s="1427"/>
      <c r="I3" s="1427"/>
      <c r="J3" s="1427"/>
      <c r="K3" s="1427"/>
      <c r="L3" s="1427"/>
      <c r="M3" s="1427"/>
      <c r="N3" s="1427"/>
      <c r="O3" s="566"/>
      <c r="P3" s="622" t="s">
        <v>627</v>
      </c>
      <c r="Q3" s="563"/>
      <c r="R3" s="563"/>
      <c r="S3" s="563"/>
      <c r="T3" s="563"/>
    </row>
    <row r="4" spans="1:20" ht="15" customHeight="1">
      <c r="A4" s="567" t="s">
        <v>569</v>
      </c>
      <c r="B4" s="565"/>
      <c r="C4" s="567"/>
      <c r="D4" s="567"/>
      <c r="E4" s="567"/>
      <c r="F4" s="567"/>
      <c r="G4" s="567"/>
      <c r="H4" s="567"/>
      <c r="I4" s="567"/>
      <c r="J4" s="567"/>
      <c r="K4" s="567"/>
      <c r="L4" s="567"/>
      <c r="M4" s="567"/>
      <c r="N4" s="567"/>
      <c r="O4" s="567"/>
      <c r="P4" s="568" t="s">
        <v>570</v>
      </c>
      <c r="Q4" s="560"/>
      <c r="R4" s="560"/>
      <c r="S4" s="560"/>
      <c r="T4" s="560"/>
    </row>
    <row r="5" spans="1:21" ht="20.25" customHeight="1">
      <c r="A5" s="1432" t="s">
        <v>71</v>
      </c>
      <c r="B5" s="1433"/>
      <c r="C5" s="1428" t="s">
        <v>571</v>
      </c>
      <c r="D5" s="1428"/>
      <c r="E5" s="1428"/>
      <c r="F5" s="1428" t="s">
        <v>572</v>
      </c>
      <c r="G5" s="1428"/>
      <c r="H5" s="1428"/>
      <c r="I5" s="1428"/>
      <c r="J5" s="1428"/>
      <c r="K5" s="1428"/>
      <c r="L5" s="1428"/>
      <c r="M5" s="1428"/>
      <c r="N5" s="1428"/>
      <c r="O5" s="1428"/>
      <c r="P5" s="1428" t="s">
        <v>573</v>
      </c>
      <c r="Q5" s="1428"/>
      <c r="R5" s="1428"/>
      <c r="S5" s="1428"/>
      <c r="T5" s="1428"/>
      <c r="U5" s="1428"/>
    </row>
    <row r="6" spans="1:21" ht="19.5" customHeight="1">
      <c r="A6" s="1434"/>
      <c r="B6" s="1435"/>
      <c r="C6" s="1428"/>
      <c r="D6" s="1428"/>
      <c r="E6" s="1428"/>
      <c r="F6" s="1428" t="s">
        <v>574</v>
      </c>
      <c r="G6" s="1428"/>
      <c r="H6" s="1428"/>
      <c r="I6" s="1428" t="s">
        <v>575</v>
      </c>
      <c r="J6" s="1428"/>
      <c r="K6" s="1428"/>
      <c r="L6" s="1428"/>
      <c r="M6" s="1428"/>
      <c r="N6" s="1428"/>
      <c r="O6" s="1428"/>
      <c r="P6" s="1428" t="s">
        <v>36</v>
      </c>
      <c r="Q6" s="1428" t="s">
        <v>7</v>
      </c>
      <c r="R6" s="1428"/>
      <c r="S6" s="1428"/>
      <c r="T6" s="1428"/>
      <c r="U6" s="1428"/>
    </row>
    <row r="7" spans="1:22" ht="34.5" customHeight="1">
      <c r="A7" s="1434"/>
      <c r="B7" s="1435"/>
      <c r="C7" s="1428"/>
      <c r="D7" s="1428"/>
      <c r="E7" s="1428"/>
      <c r="F7" s="1428"/>
      <c r="G7" s="1428"/>
      <c r="H7" s="1428"/>
      <c r="I7" s="1428" t="s">
        <v>576</v>
      </c>
      <c r="J7" s="1428"/>
      <c r="K7" s="1428"/>
      <c r="L7" s="1428" t="s">
        <v>577</v>
      </c>
      <c r="M7" s="1428"/>
      <c r="N7" s="1428"/>
      <c r="O7" s="1428"/>
      <c r="P7" s="1428"/>
      <c r="Q7" s="1428" t="s">
        <v>626</v>
      </c>
      <c r="R7" s="1428" t="s">
        <v>579</v>
      </c>
      <c r="S7" s="1428" t="s">
        <v>580</v>
      </c>
      <c r="T7" s="1428" t="s">
        <v>581</v>
      </c>
      <c r="U7" s="1428" t="s">
        <v>582</v>
      </c>
      <c r="V7" s="564" t="s">
        <v>583</v>
      </c>
    </row>
    <row r="8" spans="1:21" ht="18.75" customHeight="1">
      <c r="A8" s="1434"/>
      <c r="B8" s="1435"/>
      <c r="C8" s="1428" t="s">
        <v>36</v>
      </c>
      <c r="D8" s="1428" t="s">
        <v>7</v>
      </c>
      <c r="E8" s="1428"/>
      <c r="F8" s="1428" t="s">
        <v>36</v>
      </c>
      <c r="G8" s="1428" t="s">
        <v>7</v>
      </c>
      <c r="H8" s="1428"/>
      <c r="I8" s="1428" t="s">
        <v>36</v>
      </c>
      <c r="J8" s="1428" t="s">
        <v>7</v>
      </c>
      <c r="K8" s="1428"/>
      <c r="L8" s="1428" t="s">
        <v>36</v>
      </c>
      <c r="M8" s="1428" t="s">
        <v>584</v>
      </c>
      <c r="N8" s="1428"/>
      <c r="O8" s="1428"/>
      <c r="P8" s="1428"/>
      <c r="Q8" s="1438"/>
      <c r="R8" s="1428"/>
      <c r="S8" s="1428"/>
      <c r="T8" s="1428"/>
      <c r="U8" s="1428"/>
    </row>
    <row r="9" spans="1:23" ht="122.25" customHeight="1">
      <c r="A9" s="1434"/>
      <c r="B9" s="1435"/>
      <c r="C9" s="1428"/>
      <c r="D9" s="569" t="s">
        <v>585</v>
      </c>
      <c r="E9" s="569" t="s">
        <v>592</v>
      </c>
      <c r="F9" s="1428"/>
      <c r="G9" s="569" t="s">
        <v>585</v>
      </c>
      <c r="H9" s="569" t="s">
        <v>586</v>
      </c>
      <c r="I9" s="1428"/>
      <c r="J9" s="569" t="s">
        <v>587</v>
      </c>
      <c r="K9" s="569" t="s">
        <v>588</v>
      </c>
      <c r="L9" s="1428"/>
      <c r="M9" s="569" t="s">
        <v>589</v>
      </c>
      <c r="N9" s="569" t="s">
        <v>590</v>
      </c>
      <c r="O9" s="569" t="s">
        <v>591</v>
      </c>
      <c r="P9" s="1428"/>
      <c r="Q9" s="1438"/>
      <c r="R9" s="1428"/>
      <c r="S9" s="1428"/>
      <c r="T9" s="1428"/>
      <c r="U9" s="1428"/>
      <c r="V9" s="570"/>
      <c r="W9" s="570"/>
    </row>
    <row r="10" spans="1:29" ht="12.75">
      <c r="A10" s="572"/>
      <c r="B10" s="573" t="s">
        <v>593</v>
      </c>
      <c r="C10" s="574">
        <v>1</v>
      </c>
      <c r="D10" s="575">
        <v>2</v>
      </c>
      <c r="E10" s="574">
        <v>3</v>
      </c>
      <c r="F10" s="575">
        <v>4</v>
      </c>
      <c r="G10" s="574">
        <v>5</v>
      </c>
      <c r="H10" s="575">
        <v>6</v>
      </c>
      <c r="I10" s="574">
        <v>7</v>
      </c>
      <c r="J10" s="575">
        <v>8</v>
      </c>
      <c r="K10" s="574">
        <v>9</v>
      </c>
      <c r="L10" s="575">
        <v>10</v>
      </c>
      <c r="M10" s="574">
        <v>11</v>
      </c>
      <c r="N10" s="575">
        <v>12</v>
      </c>
      <c r="O10" s="574">
        <v>13</v>
      </c>
      <c r="P10" s="575">
        <v>14</v>
      </c>
      <c r="Q10" s="574">
        <v>15</v>
      </c>
      <c r="R10" s="575">
        <v>16</v>
      </c>
      <c r="S10" s="574">
        <v>17</v>
      </c>
      <c r="T10" s="575">
        <v>18</v>
      </c>
      <c r="U10" s="574">
        <v>19</v>
      </c>
      <c r="V10" s="571"/>
      <c r="W10" s="570"/>
      <c r="X10" s="570"/>
      <c r="Y10" s="570"/>
      <c r="Z10" s="570"/>
      <c r="AA10" s="570"/>
      <c r="AB10" s="570"/>
      <c r="AC10" s="570"/>
    </row>
    <row r="11" spans="1:29" s="810" customFormat="1" ht="16.5" customHeight="1">
      <c r="A11" s="1430" t="s">
        <v>36</v>
      </c>
      <c r="B11" s="1431"/>
      <c r="C11" s="807">
        <f>C12+C13</f>
        <v>0</v>
      </c>
      <c r="D11" s="807">
        <f aca="true" t="shared" si="0" ref="D11:U11">D12+D13</f>
        <v>0</v>
      </c>
      <c r="E11" s="807">
        <f t="shared" si="0"/>
        <v>0</v>
      </c>
      <c r="F11" s="807">
        <f t="shared" si="0"/>
        <v>0</v>
      </c>
      <c r="G11" s="807">
        <f t="shared" si="0"/>
        <v>0</v>
      </c>
      <c r="H11" s="807">
        <f t="shared" si="0"/>
        <v>0</v>
      </c>
      <c r="I11" s="807">
        <f t="shared" si="0"/>
        <v>0</v>
      </c>
      <c r="J11" s="807">
        <f t="shared" si="0"/>
        <v>0</v>
      </c>
      <c r="K11" s="807">
        <f t="shared" si="0"/>
        <v>0</v>
      </c>
      <c r="L11" s="807">
        <f t="shared" si="0"/>
        <v>0</v>
      </c>
      <c r="M11" s="807">
        <f t="shared" si="0"/>
        <v>0</v>
      </c>
      <c r="N11" s="807">
        <f t="shared" si="0"/>
        <v>0</v>
      </c>
      <c r="O11" s="807">
        <f t="shared" si="0"/>
        <v>0</v>
      </c>
      <c r="P11" s="807">
        <f t="shared" si="0"/>
        <v>0</v>
      </c>
      <c r="Q11" s="807">
        <f t="shared" si="0"/>
        <v>0</v>
      </c>
      <c r="R11" s="807">
        <f t="shared" si="0"/>
        <v>0</v>
      </c>
      <c r="S11" s="807">
        <f t="shared" si="0"/>
        <v>0</v>
      </c>
      <c r="T11" s="807">
        <f t="shared" si="0"/>
        <v>0</v>
      </c>
      <c r="U11" s="807">
        <f t="shared" si="0"/>
        <v>0</v>
      </c>
      <c r="V11" s="808"/>
      <c r="W11" s="809"/>
      <c r="X11" s="809"/>
      <c r="Y11" s="809"/>
      <c r="Z11" s="809"/>
      <c r="AA11" s="809"/>
      <c r="AB11" s="809"/>
      <c r="AC11" s="809"/>
    </row>
    <row r="12" spans="1:29" s="816" customFormat="1" ht="16.5" customHeight="1">
      <c r="A12" s="811" t="s">
        <v>0</v>
      </c>
      <c r="B12" s="812" t="s">
        <v>97</v>
      </c>
      <c r="C12" s="813">
        <v>0</v>
      </c>
      <c r="D12" s="813">
        <v>0</v>
      </c>
      <c r="E12" s="813">
        <v>0</v>
      </c>
      <c r="F12" s="813">
        <v>0</v>
      </c>
      <c r="G12" s="813">
        <v>0</v>
      </c>
      <c r="H12" s="813">
        <v>0</v>
      </c>
      <c r="I12" s="813">
        <v>0</v>
      </c>
      <c r="J12" s="813">
        <v>0</v>
      </c>
      <c r="K12" s="813">
        <v>0</v>
      </c>
      <c r="L12" s="813">
        <v>0</v>
      </c>
      <c r="M12" s="813">
        <v>0</v>
      </c>
      <c r="N12" s="813">
        <v>0</v>
      </c>
      <c r="O12" s="813">
        <v>0</v>
      </c>
      <c r="P12" s="813">
        <v>0</v>
      </c>
      <c r="Q12" s="813">
        <v>0</v>
      </c>
      <c r="R12" s="813">
        <v>0</v>
      </c>
      <c r="S12" s="813">
        <v>0</v>
      </c>
      <c r="T12" s="813">
        <v>0</v>
      </c>
      <c r="U12" s="813">
        <v>0</v>
      </c>
      <c r="V12" s="814"/>
      <c r="W12" s="815"/>
      <c r="X12" s="815"/>
      <c r="Y12" s="815"/>
      <c r="Z12" s="815"/>
      <c r="AA12" s="815"/>
      <c r="AB12" s="815"/>
      <c r="AC12" s="815"/>
    </row>
    <row r="13" spans="1:29" s="821" customFormat="1" ht="16.5" customHeight="1">
      <c r="A13" s="817" t="s">
        <v>1</v>
      </c>
      <c r="B13" s="818" t="s">
        <v>18</v>
      </c>
      <c r="C13" s="819">
        <v>0</v>
      </c>
      <c r="D13" s="819">
        <v>0</v>
      </c>
      <c r="E13" s="819">
        <v>0</v>
      </c>
      <c r="F13" s="819">
        <v>0</v>
      </c>
      <c r="G13" s="819">
        <v>0</v>
      </c>
      <c r="H13" s="819">
        <v>0</v>
      </c>
      <c r="I13" s="819">
        <v>0</v>
      </c>
      <c r="J13" s="819">
        <v>0</v>
      </c>
      <c r="K13" s="819">
        <v>0</v>
      </c>
      <c r="L13" s="819">
        <v>0</v>
      </c>
      <c r="M13" s="819">
        <v>0</v>
      </c>
      <c r="N13" s="819">
        <v>0</v>
      </c>
      <c r="O13" s="819">
        <v>0</v>
      </c>
      <c r="P13" s="819">
        <v>0</v>
      </c>
      <c r="Q13" s="819">
        <v>0</v>
      </c>
      <c r="R13" s="819">
        <v>0</v>
      </c>
      <c r="S13" s="819">
        <v>0</v>
      </c>
      <c r="T13" s="819">
        <v>0</v>
      </c>
      <c r="U13" s="819">
        <v>0</v>
      </c>
      <c r="V13" s="820"/>
      <c r="W13" s="820"/>
      <c r="X13" s="820"/>
      <c r="Y13" s="820"/>
      <c r="Z13" s="820"/>
      <c r="AA13" s="820"/>
      <c r="AB13" s="820"/>
      <c r="AC13" s="820"/>
    </row>
    <row r="14" spans="1:29" s="577" customFormat="1" ht="18" customHeight="1">
      <c r="A14" s="579" t="s">
        <v>51</v>
      </c>
      <c r="B14" s="652" t="s">
        <v>674</v>
      </c>
      <c r="C14" s="795">
        <v>0</v>
      </c>
      <c r="D14" s="795"/>
      <c r="E14" s="795"/>
      <c r="F14" s="795"/>
      <c r="G14" s="795"/>
      <c r="H14" s="795"/>
      <c r="I14" s="795"/>
      <c r="J14" s="795"/>
      <c r="K14" s="795"/>
      <c r="L14" s="795"/>
      <c r="M14" s="795"/>
      <c r="N14" s="795"/>
      <c r="O14" s="795"/>
      <c r="P14" s="795"/>
      <c r="Q14" s="578"/>
      <c r="R14" s="578"/>
      <c r="S14" s="578"/>
      <c r="T14" s="578"/>
      <c r="U14" s="578"/>
      <c r="V14" s="576"/>
      <c r="W14" s="576"/>
      <c r="X14" s="576"/>
      <c r="Y14" s="576"/>
      <c r="Z14" s="576"/>
      <c r="AA14" s="576"/>
      <c r="AB14" s="576"/>
      <c r="AC14" s="576"/>
    </row>
    <row r="15" spans="1:29" s="577" customFormat="1" ht="18" customHeight="1">
      <c r="A15" s="579" t="s">
        <v>52</v>
      </c>
      <c r="B15" s="652" t="s">
        <v>675</v>
      </c>
      <c r="C15" s="795">
        <v>0</v>
      </c>
      <c r="D15" s="795"/>
      <c r="E15" s="795"/>
      <c r="F15" s="795"/>
      <c r="G15" s="795"/>
      <c r="H15" s="795"/>
      <c r="I15" s="795"/>
      <c r="J15" s="795"/>
      <c r="K15" s="795"/>
      <c r="L15" s="795"/>
      <c r="M15" s="795"/>
      <c r="N15" s="795"/>
      <c r="O15" s="795"/>
      <c r="P15" s="795"/>
      <c r="Q15" s="578"/>
      <c r="R15" s="578"/>
      <c r="S15" s="578"/>
      <c r="T15" s="578"/>
      <c r="U15" s="578"/>
      <c r="V15" s="576"/>
      <c r="W15" s="576"/>
      <c r="X15" s="576"/>
      <c r="Y15" s="576"/>
      <c r="Z15" s="576"/>
      <c r="AA15" s="576"/>
      <c r="AB15" s="576"/>
      <c r="AC15" s="576"/>
    </row>
    <row r="16" spans="1:29" s="577" customFormat="1" ht="18" customHeight="1">
      <c r="A16" s="579" t="s">
        <v>57</v>
      </c>
      <c r="B16" s="652" t="s">
        <v>676</v>
      </c>
      <c r="C16" s="795">
        <v>0</v>
      </c>
      <c r="D16" s="795"/>
      <c r="E16" s="795"/>
      <c r="F16" s="795"/>
      <c r="G16" s="795"/>
      <c r="H16" s="795"/>
      <c r="I16" s="795"/>
      <c r="J16" s="795"/>
      <c r="K16" s="795"/>
      <c r="L16" s="795"/>
      <c r="M16" s="795"/>
      <c r="N16" s="795"/>
      <c r="O16" s="795"/>
      <c r="P16" s="795"/>
      <c r="Q16" s="578"/>
      <c r="R16" s="578"/>
      <c r="S16" s="578"/>
      <c r="T16" s="578"/>
      <c r="U16" s="578"/>
      <c r="V16" s="576"/>
      <c r="W16" s="576"/>
      <c r="X16" s="576"/>
      <c r="Y16" s="576"/>
      <c r="Z16" s="576"/>
      <c r="AA16" s="576"/>
      <c r="AB16" s="576"/>
      <c r="AC16" s="576"/>
    </row>
    <row r="17" spans="1:29" s="577" customFormat="1" ht="18" customHeight="1">
      <c r="A17" s="579" t="s">
        <v>72</v>
      </c>
      <c r="B17" s="652" t="s">
        <v>677</v>
      </c>
      <c r="C17" s="795">
        <v>0</v>
      </c>
      <c r="D17" s="795"/>
      <c r="E17" s="795"/>
      <c r="F17" s="795"/>
      <c r="G17" s="795"/>
      <c r="H17" s="795"/>
      <c r="I17" s="795"/>
      <c r="J17" s="795"/>
      <c r="K17" s="795"/>
      <c r="L17" s="795"/>
      <c r="M17" s="795"/>
      <c r="N17" s="795"/>
      <c r="O17" s="795"/>
      <c r="P17" s="795"/>
      <c r="Q17" s="578"/>
      <c r="R17" s="578"/>
      <c r="S17" s="578"/>
      <c r="T17" s="578"/>
      <c r="U17" s="578"/>
      <c r="V17" s="576"/>
      <c r="W17" s="576"/>
      <c r="X17" s="576"/>
      <c r="Y17" s="576"/>
      <c r="Z17" s="576"/>
      <c r="AA17" s="576"/>
      <c r="AB17" s="576"/>
      <c r="AC17" s="576"/>
    </row>
    <row r="18" spans="1:29" s="577" customFormat="1" ht="18" customHeight="1">
      <c r="A18" s="579" t="s">
        <v>73</v>
      </c>
      <c r="B18" s="652" t="s">
        <v>678</v>
      </c>
      <c r="C18" s="795">
        <f>D18+E18</f>
        <v>0</v>
      </c>
      <c r="D18" s="795"/>
      <c r="E18" s="795"/>
      <c r="F18" s="795"/>
      <c r="G18" s="795"/>
      <c r="H18" s="795"/>
      <c r="I18" s="795"/>
      <c r="J18" s="795"/>
      <c r="K18" s="795"/>
      <c r="L18" s="795"/>
      <c r="M18" s="795"/>
      <c r="N18" s="795"/>
      <c r="O18" s="795"/>
      <c r="P18" s="795"/>
      <c r="Q18" s="578"/>
      <c r="R18" s="578"/>
      <c r="S18" s="578"/>
      <c r="T18" s="578"/>
      <c r="U18" s="578"/>
      <c r="V18" s="576"/>
      <c r="W18" s="576"/>
      <c r="X18" s="576"/>
      <c r="Y18" s="576"/>
      <c r="Z18" s="576"/>
      <c r="AA18" s="576"/>
      <c r="AB18" s="576"/>
      <c r="AC18" s="576"/>
    </row>
    <row r="19" spans="1:29" s="577" customFormat="1" ht="18" customHeight="1">
      <c r="A19" s="579" t="s">
        <v>74</v>
      </c>
      <c r="B19" s="652" t="s">
        <v>679</v>
      </c>
      <c r="C19" s="795">
        <v>0</v>
      </c>
      <c r="D19" s="795"/>
      <c r="E19" s="795"/>
      <c r="F19" s="795"/>
      <c r="G19" s="795"/>
      <c r="H19" s="795"/>
      <c r="I19" s="795"/>
      <c r="J19" s="795"/>
      <c r="K19" s="795"/>
      <c r="L19" s="795"/>
      <c r="M19" s="795"/>
      <c r="N19" s="795"/>
      <c r="O19" s="795"/>
      <c r="P19" s="795"/>
      <c r="Q19" s="578"/>
      <c r="R19" s="578"/>
      <c r="S19" s="578"/>
      <c r="T19" s="578"/>
      <c r="U19" s="578"/>
      <c r="V19" s="576"/>
      <c r="W19" s="576"/>
      <c r="X19" s="576"/>
      <c r="Y19" s="576"/>
      <c r="Z19" s="576"/>
      <c r="AA19" s="576"/>
      <c r="AB19" s="576"/>
      <c r="AC19" s="576"/>
    </row>
    <row r="20" spans="1:29" s="577" customFormat="1" ht="18" customHeight="1">
      <c r="A20" s="579" t="s">
        <v>75</v>
      </c>
      <c r="B20" s="652" t="s">
        <v>680</v>
      </c>
      <c r="C20" s="795">
        <v>0</v>
      </c>
      <c r="D20" s="795"/>
      <c r="E20" s="795"/>
      <c r="F20" s="795"/>
      <c r="G20" s="795"/>
      <c r="H20" s="795"/>
      <c r="I20" s="795"/>
      <c r="J20" s="795"/>
      <c r="K20" s="795"/>
      <c r="L20" s="795"/>
      <c r="M20" s="795"/>
      <c r="N20" s="795"/>
      <c r="O20" s="795"/>
      <c r="P20" s="795"/>
      <c r="Q20" s="578"/>
      <c r="R20" s="578"/>
      <c r="S20" s="578"/>
      <c r="T20" s="578"/>
      <c r="U20" s="578"/>
      <c r="V20" s="576"/>
      <c r="W20" s="576"/>
      <c r="X20" s="576"/>
      <c r="Y20" s="576"/>
      <c r="Z20" s="576"/>
      <c r="AA20" s="576"/>
      <c r="AB20" s="576"/>
      <c r="AC20" s="576"/>
    </row>
    <row r="21" spans="1:21" ht="22.5" customHeight="1">
      <c r="A21" s="580"/>
      <c r="B21" s="1436"/>
      <c r="C21" s="1436"/>
      <c r="D21" s="1436"/>
      <c r="E21" s="1436"/>
      <c r="F21" s="1436"/>
      <c r="G21" s="1436"/>
      <c r="H21" s="620"/>
      <c r="I21" s="620"/>
      <c r="J21" s="620"/>
      <c r="K21" s="620"/>
      <c r="L21" s="620"/>
      <c r="M21" s="623"/>
      <c r="N21" s="1439" t="str">
        <f>'Thong tin'!B8</f>
        <v>Tuyên Quang, ngày 05 tháng 01 năm 2018</v>
      </c>
      <c r="O21" s="1439"/>
      <c r="P21" s="1439"/>
      <c r="Q21" s="1439"/>
      <c r="R21" s="1439"/>
      <c r="S21" s="1439"/>
      <c r="T21" s="1439"/>
      <c r="U21" s="1439"/>
    </row>
    <row r="22" spans="1:21" ht="17.25" customHeight="1">
      <c r="A22" s="580"/>
      <c r="B22" s="1429" t="s">
        <v>4</v>
      </c>
      <c r="C22" s="1429"/>
      <c r="D22" s="1429"/>
      <c r="E22" s="1429"/>
      <c r="F22" s="1429"/>
      <c r="G22" s="1429"/>
      <c r="H22" s="611"/>
      <c r="I22" s="611"/>
      <c r="J22" s="611"/>
      <c r="K22" s="611"/>
      <c r="L22" s="611"/>
      <c r="M22" s="623"/>
      <c r="N22" s="1437" t="str">
        <f>'Thong tin'!B7</f>
        <v>CỤC TRƯỞNG</v>
      </c>
      <c r="O22" s="1437"/>
      <c r="P22" s="1437"/>
      <c r="Q22" s="1437"/>
      <c r="R22" s="1437"/>
      <c r="S22" s="1437"/>
      <c r="T22" s="1437"/>
      <c r="U22" s="1437"/>
    </row>
    <row r="23" spans="1:21" ht="18" customHeight="1">
      <c r="A23" s="582"/>
      <c r="B23" s="1441"/>
      <c r="C23" s="1441"/>
      <c r="D23" s="1441"/>
      <c r="E23" s="1441"/>
      <c r="F23" s="1441"/>
      <c r="G23" s="624"/>
      <c r="H23" s="624"/>
      <c r="I23" s="624"/>
      <c r="J23" s="624"/>
      <c r="K23" s="624"/>
      <c r="L23" s="624"/>
      <c r="M23" s="624"/>
      <c r="N23" s="1437"/>
      <c r="O23" s="1437"/>
      <c r="P23" s="1437"/>
      <c r="Q23" s="1437"/>
      <c r="R23" s="1437"/>
      <c r="S23" s="1437"/>
      <c r="T23" s="1437"/>
      <c r="U23" s="1437"/>
    </row>
    <row r="24" spans="2:21" ht="23.25" customHeight="1">
      <c r="B24" s="1442"/>
      <c r="C24" s="1442"/>
      <c r="D24" s="1442"/>
      <c r="E24" s="1442"/>
      <c r="F24" s="1442"/>
      <c r="G24" s="623"/>
      <c r="H24" s="623"/>
      <c r="I24" s="623"/>
      <c r="J24" s="623"/>
      <c r="K24" s="623"/>
      <c r="L24" s="623"/>
      <c r="M24" s="623"/>
      <c r="N24" s="623"/>
      <c r="O24" s="623"/>
      <c r="P24" s="1442"/>
      <c r="Q24" s="1442"/>
      <c r="R24" s="1442"/>
      <c r="S24" s="1442"/>
      <c r="T24" s="1442"/>
      <c r="U24" s="623"/>
    </row>
    <row r="25" spans="2:21" ht="3" customHeight="1">
      <c r="B25" s="623"/>
      <c r="C25" s="623"/>
      <c r="D25" s="623"/>
      <c r="E25" s="623"/>
      <c r="F25" s="623"/>
      <c r="G25" s="623"/>
      <c r="H25" s="623"/>
      <c r="I25" s="623"/>
      <c r="J25" s="623"/>
      <c r="K25" s="623"/>
      <c r="L25" s="623"/>
      <c r="M25" s="623"/>
      <c r="N25" s="623"/>
      <c r="O25" s="623"/>
      <c r="P25" s="623"/>
      <c r="Q25" s="1445"/>
      <c r="R25" s="1445"/>
      <c r="S25" s="623"/>
      <c r="T25" s="623"/>
      <c r="U25" s="623"/>
    </row>
    <row r="26" spans="2:21" ht="10.5" customHeight="1">
      <c r="B26" s="623"/>
      <c r="C26" s="623"/>
      <c r="D26" s="623"/>
      <c r="E26" s="623"/>
      <c r="F26" s="623"/>
      <c r="G26" s="623"/>
      <c r="H26" s="623"/>
      <c r="I26" s="623"/>
      <c r="J26" s="623"/>
      <c r="K26" s="623"/>
      <c r="L26" s="623"/>
      <c r="M26" s="623"/>
      <c r="N26" s="623"/>
      <c r="O26" s="623"/>
      <c r="P26" s="623"/>
      <c r="Q26" s="623"/>
      <c r="R26" s="623"/>
      <c r="S26" s="623"/>
      <c r="T26" s="623"/>
      <c r="U26" s="623"/>
    </row>
    <row r="27" spans="2:21" ht="18">
      <c r="B27" s="623"/>
      <c r="C27" s="623"/>
      <c r="D27" s="623"/>
      <c r="E27" s="623"/>
      <c r="F27" s="623"/>
      <c r="G27" s="623"/>
      <c r="H27" s="623"/>
      <c r="I27" s="623"/>
      <c r="J27" s="623" t="s">
        <v>583</v>
      </c>
      <c r="K27" s="623"/>
      <c r="L27" s="623"/>
      <c r="M27" s="623"/>
      <c r="N27" s="623"/>
      <c r="O27" s="623"/>
      <c r="P27" s="623"/>
      <c r="Q27" s="623"/>
      <c r="R27" s="623"/>
      <c r="S27" s="623"/>
      <c r="T27" s="623"/>
      <c r="U27" s="623"/>
    </row>
    <row r="28" spans="2:21" ht="16.5">
      <c r="B28" s="1443" t="str">
        <f>'Thong tin'!B5</f>
        <v>Duy Thị Thúy</v>
      </c>
      <c r="C28" s="1443"/>
      <c r="D28" s="1443"/>
      <c r="E28" s="1443"/>
      <c r="F28" s="1443"/>
      <c r="G28" s="1443"/>
      <c r="H28" s="625"/>
      <c r="I28" s="626"/>
      <c r="J28" s="626"/>
      <c r="K28" s="626"/>
      <c r="L28" s="626"/>
      <c r="M28" s="626"/>
      <c r="N28" s="1443" t="str">
        <f>'Thong tin'!B6</f>
        <v>Nguyễn Tuyên </v>
      </c>
      <c r="O28" s="1443"/>
      <c r="P28" s="1443"/>
      <c r="Q28" s="1443"/>
      <c r="R28" s="1443"/>
      <c r="S28" s="1443"/>
      <c r="T28" s="1443"/>
      <c r="U28" s="1443"/>
    </row>
    <row r="30" spans="15:20" ht="12.75">
      <c r="O30" s="1444"/>
      <c r="P30" s="1444"/>
      <c r="Q30" s="1444"/>
      <c r="R30" s="1444"/>
      <c r="S30" s="1444"/>
      <c r="T30" s="1444"/>
    </row>
    <row r="32" ht="12.75" hidden="1"/>
    <row r="33" spans="1:14" ht="12.75" customHeight="1" hidden="1">
      <c r="A33" s="583" t="s">
        <v>224</v>
      </c>
      <c r="B33" s="584"/>
      <c r="C33" s="584"/>
      <c r="D33" s="584"/>
      <c r="E33" s="584"/>
      <c r="F33" s="584"/>
      <c r="G33" s="584"/>
      <c r="H33" s="584"/>
      <c r="I33" s="584"/>
      <c r="J33" s="584"/>
      <c r="K33" s="584"/>
      <c r="L33" s="584"/>
      <c r="M33" s="584"/>
      <c r="N33" s="584"/>
    </row>
    <row r="34" spans="1:14" s="585" customFormat="1" ht="15.75" customHeight="1" hidden="1">
      <c r="A34" s="1440" t="s">
        <v>594</v>
      </c>
      <c r="B34" s="1440"/>
      <c r="C34" s="1440"/>
      <c r="D34" s="1440"/>
      <c r="E34" s="1440"/>
      <c r="F34" s="1440"/>
      <c r="G34" s="1440"/>
      <c r="H34" s="1440"/>
      <c r="I34" s="1440"/>
      <c r="J34" s="1440"/>
      <c r="K34" s="1440"/>
      <c r="L34" s="584"/>
      <c r="M34" s="584"/>
      <c r="N34" s="584"/>
    </row>
    <row r="35" spans="1:14" s="588" customFormat="1" ht="15" hidden="1">
      <c r="A35" s="586" t="s">
        <v>595</v>
      </c>
      <c r="B35" s="587"/>
      <c r="C35" s="587"/>
      <c r="D35" s="587"/>
      <c r="E35" s="587"/>
      <c r="F35" s="587"/>
      <c r="G35" s="587"/>
      <c r="H35" s="587"/>
      <c r="I35" s="587"/>
      <c r="J35" s="587"/>
      <c r="K35" s="587"/>
      <c r="L35" s="587"/>
      <c r="M35" s="587"/>
      <c r="N35" s="587"/>
    </row>
    <row r="36" spans="1:14" s="585" customFormat="1" ht="15" hidden="1">
      <c r="A36" s="586" t="s">
        <v>596</v>
      </c>
      <c r="B36" s="587"/>
      <c r="C36" s="587"/>
      <c r="D36" s="587"/>
      <c r="E36" s="587"/>
      <c r="F36" s="587"/>
      <c r="G36" s="587"/>
      <c r="H36" s="587"/>
      <c r="I36" s="587"/>
      <c r="J36" s="587"/>
      <c r="K36" s="587"/>
      <c r="L36" s="589"/>
      <c r="M36" s="589"/>
      <c r="N36" s="589"/>
    </row>
    <row r="37" spans="1:14" s="585" customFormat="1" ht="15" hidden="1">
      <c r="A37" s="589"/>
      <c r="B37" s="589"/>
      <c r="C37" s="589"/>
      <c r="D37" s="589"/>
      <c r="E37" s="589"/>
      <c r="F37" s="589"/>
      <c r="G37" s="589"/>
      <c r="H37" s="589"/>
      <c r="I37" s="589"/>
      <c r="J37" s="589"/>
      <c r="K37" s="589"/>
      <c r="L37" s="589"/>
      <c r="M37" s="589"/>
      <c r="N37" s="589"/>
    </row>
    <row r="38" spans="1:14" ht="12.75" hidden="1">
      <c r="A38" s="582"/>
      <c r="B38" s="582"/>
      <c r="C38" s="582"/>
      <c r="D38" s="582"/>
      <c r="E38" s="582"/>
      <c r="F38" s="582"/>
      <c r="G38" s="582"/>
      <c r="H38" s="582"/>
      <c r="I38" s="582"/>
      <c r="J38" s="582"/>
      <c r="K38" s="582"/>
      <c r="L38" s="582"/>
      <c r="M38" s="582"/>
      <c r="N38" s="582"/>
    </row>
    <row r="39" ht="15.75" hidden="1">
      <c r="H39" s="559"/>
    </row>
    <row r="40" ht="12.75" hidden="1"/>
    <row r="41" ht="12.75" hidden="1"/>
    <row r="42" ht="12.75" hidden="1"/>
    <row r="43" ht="12.75" hidden="1"/>
    <row r="44" ht="12.75" hidden="1">
      <c r="D44" s="590"/>
    </row>
    <row r="45" ht="12.75" hidden="1">
      <c r="C45" s="590"/>
    </row>
    <row r="46" ht="12.75" hidden="1"/>
    <row r="47" ht="12.75" hidden="1"/>
    <row r="48" ht="12.75" hidden="1">
      <c r="L48" s="590" t="e">
        <f>J48/K48</f>
        <v>#DIV/0!</v>
      </c>
    </row>
    <row r="49" ht="12.75" hidden="1"/>
    <row r="50" ht="12.75" hidden="1"/>
    <row r="51" ht="12.75" hidden="1"/>
    <row r="52" ht="12.75" hidden="1"/>
    <row r="53" ht="12.75" hidden="1"/>
    <row r="54" ht="12.75" hidden="1"/>
    <row r="55" ht="12.75" hidden="1"/>
    <row r="56" ht="12.75" hidden="1"/>
    <row r="57" ht="12.75" hidden="1"/>
  </sheetData>
  <sheetProtection/>
  <mergeCells count="42">
    <mergeCell ref="A34:K34"/>
    <mergeCell ref="B23:F23"/>
    <mergeCell ref="N23:U23"/>
    <mergeCell ref="B24:F24"/>
    <mergeCell ref="P24:T24"/>
    <mergeCell ref="N28:U28"/>
    <mergeCell ref="O30:T30"/>
    <mergeCell ref="B28:G28"/>
    <mergeCell ref="Q25:R25"/>
    <mergeCell ref="S7:S9"/>
    <mergeCell ref="N22:U22"/>
    <mergeCell ref="T7:T9"/>
    <mergeCell ref="I6:O6"/>
    <mergeCell ref="P6:P9"/>
    <mergeCell ref="Q7:Q9"/>
    <mergeCell ref="N21:U21"/>
    <mergeCell ref="P5:U5"/>
    <mergeCell ref="L7:O7"/>
    <mergeCell ref="C8:C9"/>
    <mergeCell ref="U7:U9"/>
    <mergeCell ref="B21:G21"/>
    <mergeCell ref="I8:I9"/>
    <mergeCell ref="J8:K8"/>
    <mergeCell ref="M8:O8"/>
    <mergeCell ref="Q6:U6"/>
    <mergeCell ref="R7:R9"/>
    <mergeCell ref="B22:G22"/>
    <mergeCell ref="D8:E8"/>
    <mergeCell ref="L8:L9"/>
    <mergeCell ref="A11:B11"/>
    <mergeCell ref="A5:B9"/>
    <mergeCell ref="F6:H7"/>
    <mergeCell ref="G8:H8"/>
    <mergeCell ref="A1:D1"/>
    <mergeCell ref="F1:N2"/>
    <mergeCell ref="A2:E2"/>
    <mergeCell ref="A3:E3"/>
    <mergeCell ref="F3:N3"/>
    <mergeCell ref="F8:F9"/>
    <mergeCell ref="C5:E7"/>
    <mergeCell ref="I7:K7"/>
    <mergeCell ref="F5:O5"/>
  </mergeCells>
  <printOptions/>
  <pageMargins left="0.49" right="0" top="0.14" bottom="0" header="0.07" footer="0.15"/>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sheetPr>
    <tabColor indexed="13"/>
  </sheetPr>
  <dimension ref="A1:U32"/>
  <sheetViews>
    <sheetView zoomScaleSheetLayoutView="100" zoomScalePageLayoutView="0" workbookViewId="0" topLeftCell="A1">
      <selection activeCell="F3" sqref="F3:N3"/>
    </sheetView>
  </sheetViews>
  <sheetFormatPr defaultColWidth="9.00390625" defaultRowHeight="15.75"/>
  <cols>
    <col min="1" max="1" width="3.50390625" style="593" customWidth="1"/>
    <col min="2" max="2" width="25.25390625" style="593" customWidth="1"/>
    <col min="3" max="3" width="5.25390625" style="593" customWidth="1"/>
    <col min="4" max="4" width="6.625" style="593" customWidth="1"/>
    <col min="5" max="5" width="5.125" style="593" customWidth="1"/>
    <col min="6" max="9" width="5.75390625" style="593" customWidth="1"/>
    <col min="10" max="10" width="6.875" style="593" customWidth="1"/>
    <col min="11" max="11" width="7.50390625" style="593" customWidth="1"/>
    <col min="12" max="12" width="5.75390625" style="593" customWidth="1"/>
    <col min="13" max="13" width="7.75390625" style="593" customWidth="1"/>
    <col min="14" max="14" width="10.50390625" style="593" customWidth="1"/>
    <col min="15" max="15" width="8.125" style="593" customWidth="1"/>
    <col min="16" max="21" width="5.75390625" style="593" customWidth="1"/>
    <col min="22" max="16384" width="9.00390625" style="593" customWidth="1"/>
  </cols>
  <sheetData>
    <row r="1" spans="1:21" ht="19.5" customHeight="1">
      <c r="A1" s="1453" t="s">
        <v>597</v>
      </c>
      <c r="B1" s="1453"/>
      <c r="C1" s="1453"/>
      <c r="D1" s="1453"/>
      <c r="E1" s="591"/>
      <c r="F1" s="1454" t="s">
        <v>598</v>
      </c>
      <c r="G1" s="1454"/>
      <c r="H1" s="1454"/>
      <c r="I1" s="1454"/>
      <c r="J1" s="1454"/>
      <c r="K1" s="1454"/>
      <c r="L1" s="1454"/>
      <c r="M1" s="1454"/>
      <c r="N1" s="1454"/>
      <c r="O1" s="592"/>
      <c r="P1" s="1447" t="s">
        <v>467</v>
      </c>
      <c r="Q1" s="1448"/>
      <c r="R1" s="1448"/>
      <c r="S1" s="1448"/>
      <c r="T1" s="1448"/>
      <c r="U1" s="1448"/>
    </row>
    <row r="2" spans="1:21" ht="15.75" customHeight="1">
      <c r="A2" s="1449" t="s">
        <v>682</v>
      </c>
      <c r="B2" s="1449"/>
      <c r="C2" s="1449"/>
      <c r="D2" s="1449"/>
      <c r="E2" s="1449"/>
      <c r="F2" s="1454"/>
      <c r="G2" s="1454"/>
      <c r="H2" s="1454"/>
      <c r="I2" s="1454"/>
      <c r="J2" s="1454"/>
      <c r="K2" s="1454"/>
      <c r="L2" s="1454"/>
      <c r="M2" s="1454"/>
      <c r="N2" s="1454"/>
      <c r="O2" s="592"/>
      <c r="P2" s="1455" t="s">
        <v>684</v>
      </c>
      <c r="Q2" s="1455"/>
      <c r="R2" s="1455"/>
      <c r="S2" s="1455"/>
      <c r="T2" s="1455"/>
      <c r="U2" s="1455"/>
    </row>
    <row r="3" spans="1:20" ht="15.75" customHeight="1">
      <c r="A3" s="1450" t="s">
        <v>343</v>
      </c>
      <c r="B3" s="1450"/>
      <c r="C3" s="1450"/>
      <c r="D3" s="1450"/>
      <c r="E3" s="1450"/>
      <c r="F3" s="1451" t="s">
        <v>722</v>
      </c>
      <c r="G3" s="1452"/>
      <c r="H3" s="1452"/>
      <c r="I3" s="1452"/>
      <c r="J3" s="1452"/>
      <c r="K3" s="1452"/>
      <c r="L3" s="1452"/>
      <c r="M3" s="1452"/>
      <c r="N3" s="1452"/>
      <c r="O3" s="595"/>
      <c r="P3" s="627" t="s">
        <v>627</v>
      </c>
      <c r="Q3" s="596"/>
      <c r="R3" s="596"/>
      <c r="S3" s="596"/>
      <c r="T3" s="596"/>
    </row>
    <row r="4" spans="1:20" ht="15" customHeight="1">
      <c r="A4" s="597" t="s">
        <v>599</v>
      </c>
      <c r="B4" s="597"/>
      <c r="C4" s="597"/>
      <c r="D4" s="1457"/>
      <c r="E4" s="1457"/>
      <c r="F4" s="1457"/>
      <c r="G4" s="1457"/>
      <c r="H4" s="1457"/>
      <c r="I4" s="1457"/>
      <c r="J4" s="1457"/>
      <c r="K4" s="1457"/>
      <c r="L4" s="1457"/>
      <c r="M4" s="1457"/>
      <c r="N4" s="1457"/>
      <c r="O4" s="1457"/>
      <c r="P4" s="598" t="s">
        <v>600</v>
      </c>
      <c r="Q4" s="594"/>
      <c r="R4" s="594"/>
      <c r="S4" s="594"/>
      <c r="T4" s="594"/>
    </row>
    <row r="5" spans="1:21" s="600" customFormat="1" ht="15.75" customHeight="1">
      <c r="A5" s="1458" t="s">
        <v>71</v>
      </c>
      <c r="B5" s="1459"/>
      <c r="C5" s="1446" t="s">
        <v>571</v>
      </c>
      <c r="D5" s="1446"/>
      <c r="E5" s="1446"/>
      <c r="F5" s="1446" t="s">
        <v>601</v>
      </c>
      <c r="G5" s="1446"/>
      <c r="H5" s="1446"/>
      <c r="I5" s="1446"/>
      <c r="J5" s="1446"/>
      <c r="K5" s="1446"/>
      <c r="L5" s="1446"/>
      <c r="M5" s="1446"/>
      <c r="N5" s="1446"/>
      <c r="O5" s="1446"/>
      <c r="P5" s="1446" t="s">
        <v>602</v>
      </c>
      <c r="Q5" s="1446"/>
      <c r="R5" s="1446"/>
      <c r="S5" s="1446"/>
      <c r="T5" s="1446"/>
      <c r="U5" s="1446"/>
    </row>
    <row r="6" spans="1:21" s="600" customFormat="1" ht="14.25" customHeight="1">
      <c r="A6" s="1460"/>
      <c r="B6" s="1461"/>
      <c r="C6" s="1446"/>
      <c r="D6" s="1446"/>
      <c r="E6" s="1446"/>
      <c r="F6" s="1446" t="s">
        <v>603</v>
      </c>
      <c r="G6" s="1446"/>
      <c r="H6" s="1446"/>
      <c r="I6" s="1446" t="s">
        <v>575</v>
      </c>
      <c r="J6" s="1446"/>
      <c r="K6" s="1446"/>
      <c r="L6" s="1446"/>
      <c r="M6" s="1446"/>
      <c r="N6" s="1446"/>
      <c r="O6" s="1446"/>
      <c r="P6" s="1446" t="s">
        <v>225</v>
      </c>
      <c r="Q6" s="1464" t="s">
        <v>7</v>
      </c>
      <c r="R6" s="1464"/>
      <c r="S6" s="1464"/>
      <c r="T6" s="1464"/>
      <c r="U6" s="1464"/>
    </row>
    <row r="7" spans="1:21" s="600" customFormat="1" ht="32.25" customHeight="1">
      <c r="A7" s="1460"/>
      <c r="B7" s="1461"/>
      <c r="C7" s="1446"/>
      <c r="D7" s="1446"/>
      <c r="E7" s="1446"/>
      <c r="F7" s="1446"/>
      <c r="G7" s="1446"/>
      <c r="H7" s="1446"/>
      <c r="I7" s="1446" t="s">
        <v>576</v>
      </c>
      <c r="J7" s="1446"/>
      <c r="K7" s="1446"/>
      <c r="L7" s="1446" t="s">
        <v>604</v>
      </c>
      <c r="M7" s="1446"/>
      <c r="N7" s="1446"/>
      <c r="O7" s="1446"/>
      <c r="P7" s="1446"/>
      <c r="Q7" s="1446" t="s">
        <v>578</v>
      </c>
      <c r="R7" s="1446" t="s">
        <v>605</v>
      </c>
      <c r="S7" s="1446" t="s">
        <v>606</v>
      </c>
      <c r="T7" s="1446" t="s">
        <v>607</v>
      </c>
      <c r="U7" s="1446" t="s">
        <v>608</v>
      </c>
    </row>
    <row r="8" spans="1:21" s="600" customFormat="1" ht="15" customHeight="1">
      <c r="A8" s="1460"/>
      <c r="B8" s="1461"/>
      <c r="C8" s="1446" t="s">
        <v>609</v>
      </c>
      <c r="D8" s="1446" t="s">
        <v>7</v>
      </c>
      <c r="E8" s="1446"/>
      <c r="F8" s="1446" t="s">
        <v>610</v>
      </c>
      <c r="G8" s="1446" t="s">
        <v>7</v>
      </c>
      <c r="H8" s="1446"/>
      <c r="I8" s="1446" t="s">
        <v>611</v>
      </c>
      <c r="J8" s="1446" t="s">
        <v>7</v>
      </c>
      <c r="K8" s="1446"/>
      <c r="L8" s="1446" t="s">
        <v>610</v>
      </c>
      <c r="M8" s="1446" t="s">
        <v>7</v>
      </c>
      <c r="N8" s="1446"/>
      <c r="O8" s="1446"/>
      <c r="P8" s="1446"/>
      <c r="Q8" s="1446"/>
      <c r="R8" s="1456"/>
      <c r="S8" s="1466"/>
      <c r="T8" s="1446"/>
      <c r="U8" s="1446"/>
    </row>
    <row r="9" spans="1:21" s="600" customFormat="1" ht="79.5" customHeight="1">
      <c r="A9" s="1460"/>
      <c r="B9" s="1461"/>
      <c r="C9" s="1446"/>
      <c r="D9" s="599" t="s">
        <v>612</v>
      </c>
      <c r="E9" s="599" t="s">
        <v>613</v>
      </c>
      <c r="F9" s="1456"/>
      <c r="G9" s="599" t="s">
        <v>614</v>
      </c>
      <c r="H9" s="599" t="s">
        <v>615</v>
      </c>
      <c r="I9" s="1456"/>
      <c r="J9" s="599" t="s">
        <v>616</v>
      </c>
      <c r="K9" s="599" t="s">
        <v>617</v>
      </c>
      <c r="L9" s="1446"/>
      <c r="M9" s="599" t="s">
        <v>618</v>
      </c>
      <c r="N9" s="599" t="s">
        <v>619</v>
      </c>
      <c r="O9" s="599" t="s">
        <v>620</v>
      </c>
      <c r="P9" s="1446"/>
      <c r="Q9" s="1446"/>
      <c r="R9" s="1456"/>
      <c r="S9" s="1466"/>
      <c r="T9" s="1446"/>
      <c r="U9" s="1446"/>
    </row>
    <row r="10" spans="1:21" ht="12.75">
      <c r="A10" s="601"/>
      <c r="B10" s="602" t="s">
        <v>593</v>
      </c>
      <c r="C10" s="603">
        <v>1</v>
      </c>
      <c r="D10" s="603">
        <v>2</v>
      </c>
      <c r="E10" s="603">
        <v>3</v>
      </c>
      <c r="F10" s="604">
        <v>4</v>
      </c>
      <c r="G10" s="605">
        <v>5</v>
      </c>
      <c r="H10" s="604">
        <v>6</v>
      </c>
      <c r="I10" s="605">
        <v>7</v>
      </c>
      <c r="J10" s="604">
        <v>8</v>
      </c>
      <c r="K10" s="605">
        <v>9</v>
      </c>
      <c r="L10" s="604">
        <v>10</v>
      </c>
      <c r="M10" s="605">
        <v>11</v>
      </c>
      <c r="N10" s="604">
        <v>12</v>
      </c>
      <c r="O10" s="605">
        <v>13</v>
      </c>
      <c r="P10" s="604">
        <v>14</v>
      </c>
      <c r="Q10" s="605">
        <v>15</v>
      </c>
      <c r="R10" s="604">
        <v>16</v>
      </c>
      <c r="S10" s="605">
        <v>17</v>
      </c>
      <c r="T10" s="604">
        <v>18</v>
      </c>
      <c r="U10" s="605">
        <v>19</v>
      </c>
    </row>
    <row r="11" spans="1:21" s="797" customFormat="1" ht="15.75" customHeight="1">
      <c r="A11" s="1462" t="s">
        <v>37</v>
      </c>
      <c r="B11" s="1463"/>
      <c r="C11" s="796">
        <v>0</v>
      </c>
      <c r="D11" s="796">
        <v>0</v>
      </c>
      <c r="E11" s="796">
        <v>0</v>
      </c>
      <c r="F11" s="796">
        <v>0</v>
      </c>
      <c r="G11" s="796">
        <v>0</v>
      </c>
      <c r="H11" s="796">
        <v>0</v>
      </c>
      <c r="I11" s="796">
        <v>0</v>
      </c>
      <c r="J11" s="796">
        <v>0</v>
      </c>
      <c r="K11" s="796">
        <v>0</v>
      </c>
      <c r="L11" s="796">
        <v>0</v>
      </c>
      <c r="M11" s="796">
        <v>0</v>
      </c>
      <c r="N11" s="796">
        <v>0</v>
      </c>
      <c r="O11" s="796">
        <v>0</v>
      </c>
      <c r="P11" s="796">
        <v>0</v>
      </c>
      <c r="Q11" s="796">
        <v>0</v>
      </c>
      <c r="R11" s="796">
        <v>0</v>
      </c>
      <c r="S11" s="796">
        <v>0</v>
      </c>
      <c r="T11" s="796">
        <v>0</v>
      </c>
      <c r="U11" s="796">
        <v>0</v>
      </c>
    </row>
    <row r="12" spans="1:21" s="801" customFormat="1" ht="22.5" customHeight="1">
      <c r="A12" s="798" t="s">
        <v>0</v>
      </c>
      <c r="B12" s="799" t="s">
        <v>226</v>
      </c>
      <c r="C12" s="800">
        <v>0</v>
      </c>
      <c r="D12" s="800">
        <v>0</v>
      </c>
      <c r="E12" s="800">
        <v>0</v>
      </c>
      <c r="F12" s="800">
        <v>0</v>
      </c>
      <c r="G12" s="800">
        <v>0</v>
      </c>
      <c r="H12" s="800">
        <v>0</v>
      </c>
      <c r="I12" s="800">
        <v>0</v>
      </c>
      <c r="J12" s="800">
        <v>0</v>
      </c>
      <c r="K12" s="800">
        <v>0</v>
      </c>
      <c r="L12" s="800">
        <v>0</v>
      </c>
      <c r="M12" s="800">
        <v>0</v>
      </c>
      <c r="N12" s="800">
        <v>0</v>
      </c>
      <c r="O12" s="800">
        <v>0</v>
      </c>
      <c r="P12" s="800">
        <v>0</v>
      </c>
      <c r="Q12" s="800">
        <v>0</v>
      </c>
      <c r="R12" s="800">
        <v>0</v>
      </c>
      <c r="S12" s="800">
        <v>0</v>
      </c>
      <c r="T12" s="800">
        <v>0</v>
      </c>
      <c r="U12" s="800">
        <v>0</v>
      </c>
    </row>
    <row r="13" spans="1:21" s="806" customFormat="1" ht="22.5" customHeight="1">
      <c r="A13" s="802" t="s">
        <v>1</v>
      </c>
      <c r="B13" s="803" t="s">
        <v>18</v>
      </c>
      <c r="C13" s="804">
        <v>0</v>
      </c>
      <c r="D13" s="805">
        <v>0</v>
      </c>
      <c r="E13" s="805">
        <v>0</v>
      </c>
      <c r="F13" s="805">
        <v>0</v>
      </c>
      <c r="G13" s="805">
        <v>0</v>
      </c>
      <c r="H13" s="805">
        <v>0</v>
      </c>
      <c r="I13" s="805">
        <v>0</v>
      </c>
      <c r="J13" s="805">
        <v>0</v>
      </c>
      <c r="K13" s="805">
        <v>0</v>
      </c>
      <c r="L13" s="805">
        <v>0</v>
      </c>
      <c r="M13" s="805">
        <v>0</v>
      </c>
      <c r="N13" s="805">
        <v>0</v>
      </c>
      <c r="O13" s="805">
        <v>0</v>
      </c>
      <c r="P13" s="805">
        <v>0</v>
      </c>
      <c r="Q13" s="805">
        <v>0</v>
      </c>
      <c r="R13" s="805">
        <v>0</v>
      </c>
      <c r="S13" s="805">
        <v>0</v>
      </c>
      <c r="T13" s="805">
        <v>0</v>
      </c>
      <c r="U13" s="805">
        <v>0</v>
      </c>
    </row>
    <row r="14" spans="1:21" s="600" customFormat="1" ht="22.5" customHeight="1">
      <c r="A14" s="606">
        <v>1</v>
      </c>
      <c r="B14" s="652" t="s">
        <v>674</v>
      </c>
      <c r="C14" s="628">
        <v>0</v>
      </c>
      <c r="D14" s="629"/>
      <c r="E14" s="629"/>
      <c r="F14" s="628"/>
      <c r="G14" s="629"/>
      <c r="H14" s="629"/>
      <c r="I14" s="628"/>
      <c r="J14" s="629"/>
      <c r="K14" s="629"/>
      <c r="L14" s="628"/>
      <c r="M14" s="629"/>
      <c r="N14" s="629"/>
      <c r="O14" s="629"/>
      <c r="P14" s="628"/>
      <c r="Q14" s="629"/>
      <c r="R14" s="629"/>
      <c r="S14" s="629"/>
      <c r="T14" s="629"/>
      <c r="U14" s="629"/>
    </row>
    <row r="15" spans="1:21" s="600" customFormat="1" ht="22.5" customHeight="1">
      <c r="A15" s="606">
        <v>2</v>
      </c>
      <c r="B15" s="652" t="s">
        <v>675</v>
      </c>
      <c r="C15" s="628">
        <v>0</v>
      </c>
      <c r="D15" s="629"/>
      <c r="E15" s="629"/>
      <c r="F15" s="628"/>
      <c r="G15" s="629"/>
      <c r="H15" s="629"/>
      <c r="I15" s="628"/>
      <c r="J15" s="629"/>
      <c r="K15" s="629"/>
      <c r="L15" s="628"/>
      <c r="M15" s="629"/>
      <c r="N15" s="629"/>
      <c r="O15" s="629"/>
      <c r="P15" s="628"/>
      <c r="Q15" s="629"/>
      <c r="R15" s="629"/>
      <c r="S15" s="629"/>
      <c r="T15" s="629"/>
      <c r="U15" s="629"/>
    </row>
    <row r="16" spans="1:21" s="600" customFormat="1" ht="22.5" customHeight="1">
      <c r="A16" s="606">
        <v>3</v>
      </c>
      <c r="B16" s="652" t="s">
        <v>676</v>
      </c>
      <c r="C16" s="628">
        <v>0</v>
      </c>
      <c r="D16" s="629"/>
      <c r="E16" s="629"/>
      <c r="F16" s="628"/>
      <c r="G16" s="629"/>
      <c r="H16" s="629"/>
      <c r="I16" s="628"/>
      <c r="J16" s="629"/>
      <c r="K16" s="629"/>
      <c r="L16" s="628"/>
      <c r="M16" s="629"/>
      <c r="N16" s="629"/>
      <c r="O16" s="629"/>
      <c r="P16" s="628"/>
      <c r="Q16" s="629"/>
      <c r="R16" s="629"/>
      <c r="S16" s="629"/>
      <c r="T16" s="629"/>
      <c r="U16" s="629"/>
    </row>
    <row r="17" spans="1:21" s="600" customFormat="1" ht="22.5" customHeight="1">
      <c r="A17" s="606">
        <v>4</v>
      </c>
      <c r="B17" s="652" t="s">
        <v>677</v>
      </c>
      <c r="C17" s="628">
        <v>0</v>
      </c>
      <c r="D17" s="629"/>
      <c r="E17" s="629"/>
      <c r="F17" s="628"/>
      <c r="G17" s="629"/>
      <c r="H17" s="629"/>
      <c r="I17" s="628"/>
      <c r="J17" s="629"/>
      <c r="K17" s="629"/>
      <c r="L17" s="628"/>
      <c r="M17" s="629"/>
      <c r="N17" s="629"/>
      <c r="O17" s="629"/>
      <c r="P17" s="628"/>
      <c r="Q17" s="629"/>
      <c r="R17" s="629"/>
      <c r="S17" s="629"/>
      <c r="T17" s="629"/>
      <c r="U17" s="629"/>
    </row>
    <row r="18" spans="1:21" s="600" customFormat="1" ht="22.5" customHeight="1">
      <c r="A18" s="606">
        <v>5</v>
      </c>
      <c r="B18" s="652" t="s">
        <v>678</v>
      </c>
      <c r="C18" s="628">
        <v>0</v>
      </c>
      <c r="D18" s="629"/>
      <c r="E18" s="629"/>
      <c r="F18" s="628"/>
      <c r="G18" s="629"/>
      <c r="H18" s="629"/>
      <c r="I18" s="628"/>
      <c r="J18" s="629"/>
      <c r="K18" s="629"/>
      <c r="L18" s="628"/>
      <c r="M18" s="629"/>
      <c r="N18" s="629"/>
      <c r="O18" s="629"/>
      <c r="P18" s="628"/>
      <c r="Q18" s="629"/>
      <c r="R18" s="629"/>
      <c r="S18" s="629"/>
      <c r="T18" s="629"/>
      <c r="U18" s="629"/>
    </row>
    <row r="19" spans="1:21" s="600" customFormat="1" ht="22.5" customHeight="1">
      <c r="A19" s="606">
        <v>6</v>
      </c>
      <c r="B19" s="652" t="s">
        <v>679</v>
      </c>
      <c r="C19" s="628">
        <v>0</v>
      </c>
      <c r="D19" s="629"/>
      <c r="E19" s="629"/>
      <c r="F19" s="628"/>
      <c r="G19" s="629"/>
      <c r="H19" s="629"/>
      <c r="I19" s="628"/>
      <c r="J19" s="629"/>
      <c r="K19" s="629"/>
      <c r="L19" s="628"/>
      <c r="M19" s="629"/>
      <c r="N19" s="629"/>
      <c r="O19" s="629"/>
      <c r="P19" s="628"/>
      <c r="Q19" s="629"/>
      <c r="R19" s="629"/>
      <c r="S19" s="629"/>
      <c r="T19" s="629"/>
      <c r="U19" s="629"/>
    </row>
    <row r="20" spans="1:21" s="600" customFormat="1" ht="22.5" customHeight="1">
      <c r="A20" s="606">
        <v>7</v>
      </c>
      <c r="B20" s="652" t="s">
        <v>680</v>
      </c>
      <c r="C20" s="628">
        <v>0</v>
      </c>
      <c r="D20" s="629"/>
      <c r="E20" s="629"/>
      <c r="F20" s="628"/>
      <c r="G20" s="629"/>
      <c r="H20" s="629"/>
      <c r="I20" s="628"/>
      <c r="J20" s="629"/>
      <c r="K20" s="629"/>
      <c r="L20" s="628"/>
      <c r="M20" s="629"/>
      <c r="N20" s="629"/>
      <c r="O20" s="629"/>
      <c r="P20" s="628"/>
      <c r="Q20" s="629"/>
      <c r="R20" s="629"/>
      <c r="S20" s="629"/>
      <c r="T20" s="629"/>
      <c r="U20" s="629"/>
    </row>
    <row r="21" spans="1:21" ht="26.25" customHeight="1">
      <c r="A21" s="607"/>
      <c r="B21" s="1467"/>
      <c r="C21" s="1467"/>
      <c r="D21" s="1467"/>
      <c r="E21" s="1467"/>
      <c r="F21" s="1467"/>
      <c r="G21" s="1467"/>
      <c r="H21" s="608"/>
      <c r="I21" s="608"/>
      <c r="J21" s="608"/>
      <c r="K21" s="608"/>
      <c r="L21" s="608"/>
      <c r="M21" s="609"/>
      <c r="N21" s="1439" t="str">
        <f>'Thong tin'!B8</f>
        <v>Tuyên Quang, ngày 05 tháng 01 năm 2018</v>
      </c>
      <c r="O21" s="1439"/>
      <c r="P21" s="1439"/>
      <c r="Q21" s="1439"/>
      <c r="R21" s="1439"/>
      <c r="S21" s="1439"/>
      <c r="T21" s="1439"/>
      <c r="U21" s="1439"/>
    </row>
    <row r="22" spans="1:21" ht="18.75" customHeight="1">
      <c r="A22" s="607"/>
      <c r="B22" s="1465" t="s">
        <v>621</v>
      </c>
      <c r="C22" s="1465"/>
      <c r="D22" s="1465"/>
      <c r="E22" s="1465"/>
      <c r="F22" s="1465"/>
      <c r="G22" s="610"/>
      <c r="H22" s="611"/>
      <c r="I22" s="611"/>
      <c r="J22" s="611"/>
      <c r="K22" s="611"/>
      <c r="L22" s="611"/>
      <c r="M22" s="612"/>
      <c r="N22" s="1429" t="str">
        <f>'Thong tin'!B7</f>
        <v>CỤC TRƯỞNG</v>
      </c>
      <c r="O22" s="1437"/>
      <c r="P22" s="1437"/>
      <c r="Q22" s="1437"/>
      <c r="R22" s="1437"/>
      <c r="S22" s="1437"/>
      <c r="T22" s="1437"/>
      <c r="U22" s="1437"/>
    </row>
    <row r="23" spans="1:21" ht="18.75" customHeight="1">
      <c r="A23" s="613"/>
      <c r="B23" s="1469"/>
      <c r="C23" s="1469"/>
      <c r="D23" s="1469"/>
      <c r="E23" s="1469"/>
      <c r="F23" s="1469"/>
      <c r="G23" s="614"/>
      <c r="H23" s="614"/>
      <c r="I23" s="614"/>
      <c r="J23" s="614"/>
      <c r="K23" s="614"/>
      <c r="L23" s="614"/>
      <c r="M23" s="614"/>
      <c r="N23" s="1470"/>
      <c r="O23" s="1470"/>
      <c r="P23" s="1470"/>
      <c r="Q23" s="1470"/>
      <c r="R23" s="1470"/>
      <c r="S23" s="1470"/>
      <c r="T23" s="1470"/>
      <c r="U23" s="1470"/>
    </row>
    <row r="24" spans="2:21" ht="31.5" customHeight="1">
      <c r="B24" s="1471"/>
      <c r="C24" s="1471"/>
      <c r="D24" s="1471"/>
      <c r="E24" s="1471"/>
      <c r="F24" s="1471"/>
      <c r="G24" s="612"/>
      <c r="H24" s="612"/>
      <c r="I24" s="612"/>
      <c r="J24" s="612"/>
      <c r="K24" s="612"/>
      <c r="L24" s="612"/>
      <c r="M24" s="612"/>
      <c r="N24" s="612"/>
      <c r="O24" s="612"/>
      <c r="P24" s="1471"/>
      <c r="Q24" s="1471"/>
      <c r="R24" s="1471"/>
      <c r="S24" s="1471"/>
      <c r="T24" s="612"/>
      <c r="U24" s="612"/>
    </row>
    <row r="25" spans="2:21" ht="18">
      <c r="B25" s="612"/>
      <c r="C25" s="612"/>
      <c r="D25" s="612"/>
      <c r="E25" s="612"/>
      <c r="F25" s="612"/>
      <c r="G25" s="612"/>
      <c r="H25" s="612"/>
      <c r="I25" s="612"/>
      <c r="J25" s="612"/>
      <c r="K25" s="612"/>
      <c r="L25" s="612"/>
      <c r="M25" s="612"/>
      <c r="N25" s="612"/>
      <c r="O25" s="612"/>
      <c r="P25" s="612"/>
      <c r="Q25" s="612"/>
      <c r="R25" s="612"/>
      <c r="S25" s="612"/>
      <c r="T25" s="612"/>
      <c r="U25" s="612"/>
    </row>
    <row r="26" spans="2:21" ht="18">
      <c r="B26" s="612"/>
      <c r="C26" s="612"/>
      <c r="D26" s="612"/>
      <c r="E26" s="612"/>
      <c r="F26" s="612"/>
      <c r="G26" s="612"/>
      <c r="H26" s="612"/>
      <c r="I26" s="612"/>
      <c r="J26" s="612"/>
      <c r="K26" s="612"/>
      <c r="L26" s="612"/>
      <c r="M26" s="612"/>
      <c r="N26" s="612"/>
      <c r="O26" s="612"/>
      <c r="P26" s="612"/>
      <c r="Q26" s="612"/>
      <c r="R26" s="612"/>
      <c r="S26" s="612"/>
      <c r="T26" s="612"/>
      <c r="U26" s="612"/>
    </row>
    <row r="27" spans="2:21" ht="18.75">
      <c r="B27" s="1472" t="str">
        <f>'Thong tin'!B5</f>
        <v>Duy Thị Thúy</v>
      </c>
      <c r="C27" s="1472"/>
      <c r="D27" s="1472"/>
      <c r="E27" s="1472"/>
      <c r="F27" s="1472"/>
      <c r="G27" s="1472"/>
      <c r="H27" s="615"/>
      <c r="I27" s="581"/>
      <c r="J27" s="581"/>
      <c r="K27" s="581"/>
      <c r="L27" s="581"/>
      <c r="M27" s="581"/>
      <c r="N27" s="1473" t="str">
        <f>'Thong tin'!B6</f>
        <v>Nguyễn Tuyên </v>
      </c>
      <c r="O27" s="1473"/>
      <c r="P27" s="1473"/>
      <c r="Q27" s="1473"/>
      <c r="R27" s="1473"/>
      <c r="S27" s="1473"/>
      <c r="T27" s="1473"/>
      <c r="U27" s="1473"/>
    </row>
    <row r="28" ht="12.75" hidden="1"/>
    <row r="29" spans="1:20" ht="13.5" hidden="1">
      <c r="A29" s="616" t="s">
        <v>224</v>
      </c>
      <c r="O29" s="1474"/>
      <c r="P29" s="1474"/>
      <c r="Q29" s="1474"/>
      <c r="R29" s="1474"/>
      <c r="S29" s="1474"/>
      <c r="T29" s="1474"/>
    </row>
    <row r="30" spans="2:14" ht="12.75" customHeight="1" hidden="1">
      <c r="B30" s="1468" t="s">
        <v>622</v>
      </c>
      <c r="C30" s="1468"/>
      <c r="D30" s="1468"/>
      <c r="E30" s="1468"/>
      <c r="F30" s="1468"/>
      <c r="G30" s="1468"/>
      <c r="H30" s="1468"/>
      <c r="I30" s="1468"/>
      <c r="J30" s="1468"/>
      <c r="K30" s="1468"/>
      <c r="L30" s="617"/>
      <c r="M30" s="617"/>
      <c r="N30" s="617"/>
    </row>
    <row r="31" spans="1:14" ht="12.75" customHeight="1" hidden="1">
      <c r="A31" s="617"/>
      <c r="B31" s="618" t="s">
        <v>623</v>
      </c>
      <c r="C31" s="617"/>
      <c r="D31" s="617"/>
      <c r="E31" s="617"/>
      <c r="F31" s="617"/>
      <c r="G31" s="617"/>
      <c r="H31" s="617"/>
      <c r="I31" s="617"/>
      <c r="J31" s="617"/>
      <c r="K31" s="617"/>
      <c r="L31" s="617"/>
      <c r="M31" s="617"/>
      <c r="N31" s="617"/>
    </row>
    <row r="32" spans="2:14" ht="12.75" customHeight="1" hidden="1">
      <c r="B32" s="619" t="s">
        <v>624</v>
      </c>
      <c r="C32" s="582"/>
      <c r="D32" s="582"/>
      <c r="E32" s="582"/>
      <c r="F32" s="582"/>
      <c r="G32" s="582"/>
      <c r="H32" s="582"/>
      <c r="I32" s="582"/>
      <c r="J32" s="582"/>
      <c r="K32" s="582"/>
      <c r="L32" s="582"/>
      <c r="M32" s="582"/>
      <c r="N32" s="582"/>
    </row>
  </sheetData>
  <sheetProtection/>
  <mergeCells count="44">
    <mergeCell ref="B30:K30"/>
    <mergeCell ref="B23:F23"/>
    <mergeCell ref="N23:U23"/>
    <mergeCell ref="B24:F24"/>
    <mergeCell ref="P24:S24"/>
    <mergeCell ref="B27:G27"/>
    <mergeCell ref="N27:U27"/>
    <mergeCell ref="O29:T29"/>
    <mergeCell ref="B22:F22"/>
    <mergeCell ref="N22:U22"/>
    <mergeCell ref="S7:S9"/>
    <mergeCell ref="Q7:Q9"/>
    <mergeCell ref="B21:G21"/>
    <mergeCell ref="N21:U21"/>
    <mergeCell ref="U7:U9"/>
    <mergeCell ref="L8:L9"/>
    <mergeCell ref="M8:O8"/>
    <mergeCell ref="L7:O7"/>
    <mergeCell ref="A11:B11"/>
    <mergeCell ref="C8:C9"/>
    <mergeCell ref="D8:E8"/>
    <mergeCell ref="I8:I9"/>
    <mergeCell ref="Q6:U6"/>
    <mergeCell ref="I7:K7"/>
    <mergeCell ref="F6:H7"/>
    <mergeCell ref="I6:O6"/>
    <mergeCell ref="P6:P9"/>
    <mergeCell ref="J8:K8"/>
    <mergeCell ref="D4:O4"/>
    <mergeCell ref="A5:B9"/>
    <mergeCell ref="C5:E7"/>
    <mergeCell ref="F5:O5"/>
    <mergeCell ref="F8:F9"/>
    <mergeCell ref="G8:H8"/>
    <mergeCell ref="T7:T9"/>
    <mergeCell ref="P1:U1"/>
    <mergeCell ref="A2:E2"/>
    <mergeCell ref="A3:E3"/>
    <mergeCell ref="F3:N3"/>
    <mergeCell ref="A1:D1"/>
    <mergeCell ref="F1:N2"/>
    <mergeCell ref="P2:U2"/>
    <mergeCell ref="R7:R9"/>
    <mergeCell ref="P5:U5"/>
  </mergeCells>
  <printOptions horizontalCentered="1"/>
  <pageMargins left="0.33" right="0.35" top="0.29" bottom="0.21" header="0.13" footer="0.15"/>
  <pageSetup horizontalDpi="600" verticalDpi="600" orientation="landscape" paperSize="9" scale="85"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1022" t="s">
        <v>27</v>
      </c>
      <c r="B1" s="1022"/>
      <c r="C1" s="107"/>
      <c r="D1" s="1029" t="s">
        <v>457</v>
      </c>
      <c r="E1" s="1029"/>
      <c r="F1" s="1029"/>
      <c r="G1" s="1029"/>
      <c r="H1" s="1029"/>
      <c r="I1" s="1029"/>
      <c r="J1" s="1029"/>
      <c r="K1" s="1029"/>
      <c r="L1" s="1029"/>
      <c r="M1" s="1047" t="s">
        <v>398</v>
      </c>
      <c r="N1" s="1048"/>
      <c r="O1" s="1048"/>
      <c r="P1" s="1048"/>
    </row>
    <row r="2" spans="1:16" s="51" customFormat="1" ht="34.5" customHeight="1">
      <c r="A2" s="1028" t="s">
        <v>399</v>
      </c>
      <c r="B2" s="1028"/>
      <c r="C2" s="1028"/>
      <c r="D2" s="1029"/>
      <c r="E2" s="1029"/>
      <c r="F2" s="1029"/>
      <c r="G2" s="1029"/>
      <c r="H2" s="1029"/>
      <c r="I2" s="1029"/>
      <c r="J2" s="1029"/>
      <c r="K2" s="1029"/>
      <c r="L2" s="1029"/>
      <c r="M2" s="1049" t="s">
        <v>458</v>
      </c>
      <c r="N2" s="1050"/>
      <c r="O2" s="1050"/>
      <c r="P2" s="1050"/>
    </row>
    <row r="3" spans="1:16" s="51" customFormat="1" ht="19.5" customHeight="1">
      <c r="A3" s="1027" t="s">
        <v>400</v>
      </c>
      <c r="B3" s="1027"/>
      <c r="C3" s="1027"/>
      <c r="D3" s="1029"/>
      <c r="E3" s="1029"/>
      <c r="F3" s="1029"/>
      <c r="G3" s="1029"/>
      <c r="H3" s="1029"/>
      <c r="I3" s="1029"/>
      <c r="J3" s="1029"/>
      <c r="K3" s="1029"/>
      <c r="L3" s="1029"/>
      <c r="M3" s="1049" t="s">
        <v>401</v>
      </c>
      <c r="N3" s="1050"/>
      <c r="O3" s="1050"/>
      <c r="P3" s="1050"/>
    </row>
    <row r="4" spans="1:16" s="112" customFormat="1" ht="18.75" customHeight="1">
      <c r="A4" s="108"/>
      <c r="B4" s="108"/>
      <c r="C4" s="109"/>
      <c r="D4" s="999"/>
      <c r="E4" s="999"/>
      <c r="F4" s="999"/>
      <c r="G4" s="999"/>
      <c r="H4" s="999"/>
      <c r="I4" s="999"/>
      <c r="J4" s="999"/>
      <c r="K4" s="999"/>
      <c r="L4" s="999"/>
      <c r="M4" s="110" t="s">
        <v>402</v>
      </c>
      <c r="N4" s="111"/>
      <c r="O4" s="111"/>
      <c r="P4" s="111"/>
    </row>
    <row r="5" spans="1:16" ht="49.5" customHeight="1">
      <c r="A5" s="1034" t="s">
        <v>71</v>
      </c>
      <c r="B5" s="1035"/>
      <c r="C5" s="1024" t="s">
        <v>99</v>
      </c>
      <c r="D5" s="1025"/>
      <c r="E5" s="1025"/>
      <c r="F5" s="1025"/>
      <c r="G5" s="1025"/>
      <c r="H5" s="1025"/>
      <c r="I5" s="1025"/>
      <c r="J5" s="1025"/>
      <c r="K5" s="1023" t="s">
        <v>98</v>
      </c>
      <c r="L5" s="1023"/>
      <c r="M5" s="1023"/>
      <c r="N5" s="1023"/>
      <c r="O5" s="1023"/>
      <c r="P5" s="1023"/>
    </row>
    <row r="6" spans="1:16" ht="20.25" customHeight="1">
      <c r="A6" s="1036"/>
      <c r="B6" s="1037"/>
      <c r="C6" s="1024" t="s">
        <v>3</v>
      </c>
      <c r="D6" s="1025"/>
      <c r="E6" s="1025"/>
      <c r="F6" s="1026"/>
      <c r="G6" s="1023" t="s">
        <v>10</v>
      </c>
      <c r="H6" s="1023"/>
      <c r="I6" s="1023"/>
      <c r="J6" s="1023"/>
      <c r="K6" s="1051" t="s">
        <v>3</v>
      </c>
      <c r="L6" s="1051"/>
      <c r="M6" s="1051"/>
      <c r="N6" s="1046" t="s">
        <v>10</v>
      </c>
      <c r="O6" s="1046"/>
      <c r="P6" s="1046"/>
    </row>
    <row r="7" spans="1:16" ht="52.5" customHeight="1">
      <c r="A7" s="1036"/>
      <c r="B7" s="1037"/>
      <c r="C7" s="1040" t="s">
        <v>403</v>
      </c>
      <c r="D7" s="1025" t="s">
        <v>95</v>
      </c>
      <c r="E7" s="1025"/>
      <c r="F7" s="1026"/>
      <c r="G7" s="1023" t="s">
        <v>404</v>
      </c>
      <c r="H7" s="1023" t="s">
        <v>95</v>
      </c>
      <c r="I7" s="1023"/>
      <c r="J7" s="1023"/>
      <c r="K7" s="1023" t="s">
        <v>38</v>
      </c>
      <c r="L7" s="1023" t="s">
        <v>96</v>
      </c>
      <c r="M7" s="1023"/>
      <c r="N7" s="1023" t="s">
        <v>79</v>
      </c>
      <c r="O7" s="1023" t="s">
        <v>96</v>
      </c>
      <c r="P7" s="1023"/>
    </row>
    <row r="8" spans="1:16" ht="15.75" customHeight="1">
      <c r="A8" s="1036"/>
      <c r="B8" s="1037"/>
      <c r="C8" s="1040"/>
      <c r="D8" s="1023" t="s">
        <v>43</v>
      </c>
      <c r="E8" s="1023" t="s">
        <v>44</v>
      </c>
      <c r="F8" s="1023" t="s">
        <v>47</v>
      </c>
      <c r="G8" s="1023"/>
      <c r="H8" s="1023" t="s">
        <v>43</v>
      </c>
      <c r="I8" s="1023" t="s">
        <v>44</v>
      </c>
      <c r="J8" s="1023" t="s">
        <v>47</v>
      </c>
      <c r="K8" s="1023"/>
      <c r="L8" s="1023" t="s">
        <v>15</v>
      </c>
      <c r="M8" s="1023" t="s">
        <v>14</v>
      </c>
      <c r="N8" s="1023"/>
      <c r="O8" s="1023" t="s">
        <v>15</v>
      </c>
      <c r="P8" s="1023" t="s">
        <v>14</v>
      </c>
    </row>
    <row r="9" spans="1:16" ht="44.25" customHeight="1">
      <c r="A9" s="1038"/>
      <c r="B9" s="1039"/>
      <c r="C9" s="1041"/>
      <c r="D9" s="1023"/>
      <c r="E9" s="1023"/>
      <c r="F9" s="1023"/>
      <c r="G9" s="1023"/>
      <c r="H9" s="1023"/>
      <c r="I9" s="1023"/>
      <c r="J9" s="1023"/>
      <c r="K9" s="1023"/>
      <c r="L9" s="1023"/>
      <c r="M9" s="1023"/>
      <c r="N9" s="1023"/>
      <c r="O9" s="1023"/>
      <c r="P9" s="1023"/>
    </row>
    <row r="10" spans="1:16" ht="15" customHeight="1">
      <c r="A10" s="1032" t="s">
        <v>6</v>
      </c>
      <c r="B10" s="1033"/>
      <c r="C10" s="114">
        <v>1</v>
      </c>
      <c r="D10" s="114" t="s">
        <v>52</v>
      </c>
      <c r="E10" s="114" t="s">
        <v>57</v>
      </c>
      <c r="F10" s="114" t="s">
        <v>72</v>
      </c>
      <c r="G10" s="114" t="s">
        <v>73</v>
      </c>
      <c r="H10" s="114" t="s">
        <v>74</v>
      </c>
      <c r="I10" s="114" t="s">
        <v>75</v>
      </c>
      <c r="J10" s="114" t="s">
        <v>76</v>
      </c>
      <c r="K10" s="114" t="s">
        <v>77</v>
      </c>
      <c r="L10" s="114" t="s">
        <v>100</v>
      </c>
      <c r="M10" s="114" t="s">
        <v>101</v>
      </c>
      <c r="N10" s="114" t="s">
        <v>102</v>
      </c>
      <c r="O10" s="114" t="s">
        <v>103</v>
      </c>
      <c r="P10" s="114" t="s">
        <v>104</v>
      </c>
    </row>
    <row r="11" spans="1:16" ht="15" customHeight="1">
      <c r="A11" s="1042" t="s">
        <v>405</v>
      </c>
      <c r="B11" s="1043"/>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1044" t="s">
        <v>406</v>
      </c>
      <c r="B12" s="1045"/>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1030" t="s">
        <v>40</v>
      </c>
      <c r="B13" s="1031"/>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374</v>
      </c>
    </row>
    <row r="14" spans="1:37" ht="15" customHeight="1">
      <c r="A14" s="118" t="s">
        <v>0</v>
      </c>
      <c r="B14" s="119" t="s">
        <v>97</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18</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51</v>
      </c>
      <c r="B16" s="126" t="s">
        <v>375</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52</v>
      </c>
      <c r="B17" s="128" t="s">
        <v>407</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377</v>
      </c>
    </row>
    <row r="18" spans="1:16" s="51" customFormat="1" ht="15" customHeight="1">
      <c r="A18" s="125" t="s">
        <v>57</v>
      </c>
      <c r="B18" s="126" t="s">
        <v>378</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72</v>
      </c>
      <c r="B19" s="126" t="s">
        <v>379</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73</v>
      </c>
      <c r="B20" s="126" t="s">
        <v>380</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74</v>
      </c>
      <c r="B21" s="126" t="s">
        <v>381</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382</v>
      </c>
      <c r="AK21" s="51" t="s">
        <v>383</v>
      </c>
      <c r="AL21" s="51" t="s">
        <v>384</v>
      </c>
      <c r="AM21" s="122" t="s">
        <v>385</v>
      </c>
    </row>
    <row r="22" spans="1:39" s="51" customFormat="1" ht="15" customHeight="1">
      <c r="A22" s="125" t="s">
        <v>75</v>
      </c>
      <c r="B22" s="126" t="s">
        <v>386</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387</v>
      </c>
    </row>
    <row r="23" spans="1:16" s="51" customFormat="1" ht="15" customHeight="1">
      <c r="A23" s="125" t="s">
        <v>76</v>
      </c>
      <c r="B23" s="126" t="s">
        <v>388</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77</v>
      </c>
      <c r="B24" s="126" t="s">
        <v>389</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382</v>
      </c>
    </row>
    <row r="25" spans="1:36" s="51" customFormat="1" ht="15" customHeight="1">
      <c r="A25" s="125" t="s">
        <v>100</v>
      </c>
      <c r="B25" s="126" t="s">
        <v>390</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391</v>
      </c>
    </row>
    <row r="26" spans="1:44" s="51" customFormat="1" ht="15" customHeight="1">
      <c r="A26" s="125" t="s">
        <v>101</v>
      </c>
      <c r="B26" s="126" t="s">
        <v>392</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1057" t="s">
        <v>459</v>
      </c>
      <c r="C28" s="1058"/>
      <c r="D28" s="1058"/>
      <c r="E28" s="1058"/>
      <c r="F28" s="132"/>
      <c r="G28" s="132"/>
      <c r="H28" s="132"/>
      <c r="I28" s="132"/>
      <c r="J28" s="132"/>
      <c r="K28" s="1052" t="s">
        <v>460</v>
      </c>
      <c r="L28" s="1052"/>
      <c r="M28" s="1052"/>
      <c r="N28" s="1052"/>
      <c r="O28" s="1052"/>
      <c r="P28" s="1052"/>
      <c r="AG28" s="82" t="s">
        <v>394</v>
      </c>
      <c r="AI28" s="122">
        <f>82/88</f>
        <v>0.9318181818181818</v>
      </c>
    </row>
    <row r="29" spans="2:16" ht="16.5">
      <c r="B29" s="1058"/>
      <c r="C29" s="1058"/>
      <c r="D29" s="1058"/>
      <c r="E29" s="1058"/>
      <c r="F29" s="132"/>
      <c r="G29" s="132"/>
      <c r="H29" s="132"/>
      <c r="I29" s="132"/>
      <c r="J29" s="132"/>
      <c r="K29" s="1052"/>
      <c r="L29" s="1052"/>
      <c r="M29" s="1052"/>
      <c r="N29" s="1052"/>
      <c r="O29" s="1052"/>
      <c r="P29" s="1052"/>
    </row>
    <row r="30" spans="2:16" ht="21" customHeight="1">
      <c r="B30" s="1058"/>
      <c r="C30" s="1058"/>
      <c r="D30" s="1058"/>
      <c r="E30" s="1058"/>
      <c r="F30" s="132"/>
      <c r="G30" s="132"/>
      <c r="H30" s="132"/>
      <c r="I30" s="132"/>
      <c r="J30" s="132"/>
      <c r="K30" s="1052"/>
      <c r="L30" s="1052"/>
      <c r="M30" s="1052"/>
      <c r="N30" s="1052"/>
      <c r="O30" s="1052"/>
      <c r="P30" s="1052"/>
    </row>
    <row r="32" spans="2:16" ht="16.5" customHeight="1">
      <c r="B32" s="1060" t="s">
        <v>397</v>
      </c>
      <c r="C32" s="1060"/>
      <c r="D32" s="1060"/>
      <c r="E32" s="133"/>
      <c r="F32" s="133"/>
      <c r="G32" s="133"/>
      <c r="H32" s="133"/>
      <c r="I32" s="133"/>
      <c r="J32" s="133"/>
      <c r="K32" s="1059" t="s">
        <v>461</v>
      </c>
      <c r="L32" s="1059"/>
      <c r="M32" s="1059"/>
      <c r="N32" s="1059"/>
      <c r="O32" s="1059"/>
      <c r="P32" s="1059"/>
    </row>
    <row r="33" ht="12.75" customHeight="1"/>
    <row r="34" spans="2:5" ht="15.75">
      <c r="B34" s="134"/>
      <c r="C34" s="134"/>
      <c r="D34" s="134"/>
      <c r="E34" s="134"/>
    </row>
    <row r="35" ht="15.75" hidden="1"/>
    <row r="36" spans="2:16" ht="15.75">
      <c r="B36" s="1055" t="s">
        <v>350</v>
      </c>
      <c r="C36" s="1055"/>
      <c r="D36" s="1055"/>
      <c r="E36" s="1055"/>
      <c r="F36" s="135"/>
      <c r="G36" s="135"/>
      <c r="H36" s="135"/>
      <c r="I36" s="135"/>
      <c r="K36" s="1056" t="s">
        <v>351</v>
      </c>
      <c r="L36" s="1056"/>
      <c r="M36" s="1056"/>
      <c r="N36" s="1056"/>
      <c r="O36" s="1056"/>
      <c r="P36" s="1056"/>
    </row>
    <row r="39" ht="15.75">
      <c r="A39" s="137" t="s">
        <v>48</v>
      </c>
    </row>
    <row r="40" spans="1:6" ht="15.75">
      <c r="A40" s="138"/>
      <c r="B40" s="139" t="s">
        <v>58</v>
      </c>
      <c r="C40" s="139"/>
      <c r="D40" s="139"/>
      <c r="E40" s="139"/>
      <c r="F40" s="139"/>
    </row>
    <row r="41" spans="1:14" ht="15.75" customHeight="1">
      <c r="A41" s="140" t="s">
        <v>26</v>
      </c>
      <c r="B41" s="1054" t="s">
        <v>62</v>
      </c>
      <c r="C41" s="1054"/>
      <c r="D41" s="1054"/>
      <c r="E41" s="1054"/>
      <c r="F41" s="1054"/>
      <c r="G41" s="140"/>
      <c r="H41" s="140"/>
      <c r="I41" s="140"/>
      <c r="J41" s="140"/>
      <c r="K41" s="140"/>
      <c r="L41" s="140"/>
      <c r="M41" s="140"/>
      <c r="N41" s="140"/>
    </row>
    <row r="42" spans="1:14" ht="15" customHeight="1">
      <c r="A42" s="140"/>
      <c r="B42" s="1053" t="s">
        <v>65</v>
      </c>
      <c r="C42" s="1053"/>
      <c r="D42" s="1053"/>
      <c r="E42" s="1053"/>
      <c r="F42" s="1053"/>
      <c r="G42" s="1053"/>
      <c r="H42" s="141"/>
      <c r="I42" s="141"/>
      <c r="J42" s="141"/>
      <c r="K42" s="140"/>
      <c r="L42" s="140"/>
      <c r="M42" s="140"/>
      <c r="N42" s="140"/>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P8:P9"/>
    <mergeCell ref="O8:O9"/>
    <mergeCell ref="A12:B12"/>
    <mergeCell ref="K5:P5"/>
    <mergeCell ref="N7:N9"/>
    <mergeCell ref="N6:P6"/>
    <mergeCell ref="O7:P7"/>
    <mergeCell ref="A13:B13"/>
    <mergeCell ref="G7:G9"/>
    <mergeCell ref="A10:B10"/>
    <mergeCell ref="A5:B9"/>
    <mergeCell ref="C5:J5"/>
    <mergeCell ref="G6:J6"/>
    <mergeCell ref="C7:C9"/>
    <mergeCell ref="H7:J7"/>
    <mergeCell ref="D8:D9"/>
    <mergeCell ref="A11:B11"/>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1003" t="s">
        <v>116</v>
      </c>
      <c r="B1" s="1003"/>
      <c r="C1" s="1003"/>
      <c r="D1" s="1068" t="s">
        <v>462</v>
      </c>
      <c r="E1" s="1068"/>
      <c r="F1" s="1068"/>
      <c r="G1" s="1068"/>
      <c r="H1" s="1068"/>
      <c r="I1" s="1068"/>
      <c r="J1" s="1069" t="s">
        <v>463</v>
      </c>
      <c r="K1" s="1070"/>
      <c r="L1" s="1070"/>
    </row>
    <row r="2" spans="1:13" ht="15.75" customHeight="1">
      <c r="A2" s="1067" t="s">
        <v>408</v>
      </c>
      <c r="B2" s="1067"/>
      <c r="C2" s="1067"/>
      <c r="D2" s="1068"/>
      <c r="E2" s="1068"/>
      <c r="F2" s="1068"/>
      <c r="G2" s="1068"/>
      <c r="H2" s="1068"/>
      <c r="I2" s="1068"/>
      <c r="J2" s="1070" t="s">
        <v>409</v>
      </c>
      <c r="K2" s="1070"/>
      <c r="L2" s="1070"/>
      <c r="M2" s="142"/>
    </row>
    <row r="3" spans="1:13" ht="15.75" customHeight="1">
      <c r="A3" s="1005" t="s">
        <v>360</v>
      </c>
      <c r="B3" s="1005"/>
      <c r="C3" s="1005"/>
      <c r="D3" s="1068"/>
      <c r="E3" s="1068"/>
      <c r="F3" s="1068"/>
      <c r="G3" s="1068"/>
      <c r="H3" s="1068"/>
      <c r="I3" s="1068"/>
      <c r="J3" s="1069" t="s">
        <v>464</v>
      </c>
      <c r="K3" s="1069"/>
      <c r="L3" s="1069"/>
      <c r="M3" s="46"/>
    </row>
    <row r="4" spans="1:13" ht="15.75" customHeight="1">
      <c r="A4" s="1071" t="s">
        <v>362</v>
      </c>
      <c r="B4" s="1071"/>
      <c r="C4" s="1071"/>
      <c r="D4" s="1090"/>
      <c r="E4" s="1090"/>
      <c r="F4" s="1090"/>
      <c r="G4" s="1090"/>
      <c r="H4" s="1090"/>
      <c r="I4" s="1090"/>
      <c r="J4" s="1070" t="s">
        <v>410</v>
      </c>
      <c r="K4" s="1070"/>
      <c r="L4" s="1070"/>
      <c r="M4" s="142"/>
    </row>
    <row r="5" spans="1:13" ht="15.75">
      <c r="A5" s="143"/>
      <c r="B5" s="143"/>
      <c r="C5" s="43"/>
      <c r="D5" s="43"/>
      <c r="E5" s="43"/>
      <c r="F5" s="43"/>
      <c r="G5" s="43"/>
      <c r="H5" s="43"/>
      <c r="I5" s="43"/>
      <c r="J5" s="1089" t="s">
        <v>8</v>
      </c>
      <c r="K5" s="1089"/>
      <c r="L5" s="1089"/>
      <c r="M5" s="142"/>
    </row>
    <row r="6" spans="1:14" ht="15.75">
      <c r="A6" s="1079" t="s">
        <v>71</v>
      </c>
      <c r="B6" s="1080"/>
      <c r="C6" s="1023" t="s">
        <v>411</v>
      </c>
      <c r="D6" s="1062" t="s">
        <v>412</v>
      </c>
      <c r="E6" s="1062"/>
      <c r="F6" s="1062"/>
      <c r="G6" s="1062"/>
      <c r="H6" s="1062"/>
      <c r="I6" s="1062"/>
      <c r="J6" s="1000" t="s">
        <v>114</v>
      </c>
      <c r="K6" s="1000"/>
      <c r="L6" s="1000"/>
      <c r="M6" s="1063" t="s">
        <v>413</v>
      </c>
      <c r="N6" s="1061" t="s">
        <v>414</v>
      </c>
    </row>
    <row r="7" spans="1:14" ht="15.75" customHeight="1">
      <c r="A7" s="1081"/>
      <c r="B7" s="1082"/>
      <c r="C7" s="1023"/>
      <c r="D7" s="1062" t="s">
        <v>7</v>
      </c>
      <c r="E7" s="1062"/>
      <c r="F7" s="1062"/>
      <c r="G7" s="1062"/>
      <c r="H7" s="1062"/>
      <c r="I7" s="1062"/>
      <c r="J7" s="1000"/>
      <c r="K7" s="1000"/>
      <c r="L7" s="1000"/>
      <c r="M7" s="1063"/>
      <c r="N7" s="1061"/>
    </row>
    <row r="8" spans="1:14" s="82" customFormat="1" ht="31.5" customHeight="1">
      <c r="A8" s="1081"/>
      <c r="B8" s="1082"/>
      <c r="C8" s="1023"/>
      <c r="D8" s="1000" t="s">
        <v>112</v>
      </c>
      <c r="E8" s="1000" t="s">
        <v>113</v>
      </c>
      <c r="F8" s="1000"/>
      <c r="G8" s="1000"/>
      <c r="H8" s="1000"/>
      <c r="I8" s="1000"/>
      <c r="J8" s="1000"/>
      <c r="K8" s="1000"/>
      <c r="L8" s="1000"/>
      <c r="M8" s="1063"/>
      <c r="N8" s="1061"/>
    </row>
    <row r="9" spans="1:14" s="82" customFormat="1" ht="15.75" customHeight="1">
      <c r="A9" s="1081"/>
      <c r="B9" s="1082"/>
      <c r="C9" s="1023"/>
      <c r="D9" s="1000"/>
      <c r="E9" s="1000" t="s">
        <v>115</v>
      </c>
      <c r="F9" s="1000" t="s">
        <v>7</v>
      </c>
      <c r="G9" s="1000"/>
      <c r="H9" s="1000"/>
      <c r="I9" s="1000"/>
      <c r="J9" s="1000" t="s">
        <v>7</v>
      </c>
      <c r="K9" s="1000"/>
      <c r="L9" s="1000"/>
      <c r="M9" s="1063"/>
      <c r="N9" s="1061"/>
    </row>
    <row r="10" spans="1:14" s="82" customFormat="1" ht="86.25" customHeight="1">
      <c r="A10" s="1083"/>
      <c r="B10" s="1084"/>
      <c r="C10" s="1023"/>
      <c r="D10" s="1000"/>
      <c r="E10" s="1000"/>
      <c r="F10" s="113" t="s">
        <v>23</v>
      </c>
      <c r="G10" s="113" t="s">
        <v>25</v>
      </c>
      <c r="H10" s="113" t="s">
        <v>17</v>
      </c>
      <c r="I10" s="113" t="s">
        <v>24</v>
      </c>
      <c r="J10" s="113" t="s">
        <v>16</v>
      </c>
      <c r="K10" s="113" t="s">
        <v>21</v>
      </c>
      <c r="L10" s="113" t="s">
        <v>22</v>
      </c>
      <c r="M10" s="1063"/>
      <c r="N10" s="1061"/>
    </row>
    <row r="11" spans="1:32" ht="13.5" customHeight="1">
      <c r="A11" s="1076" t="s">
        <v>5</v>
      </c>
      <c r="B11" s="1077"/>
      <c r="C11" s="144">
        <v>1</v>
      </c>
      <c r="D11" s="144" t="s">
        <v>52</v>
      </c>
      <c r="E11" s="144" t="s">
        <v>57</v>
      </c>
      <c r="F11" s="144" t="s">
        <v>72</v>
      </c>
      <c r="G11" s="144" t="s">
        <v>73</v>
      </c>
      <c r="H11" s="144" t="s">
        <v>74</v>
      </c>
      <c r="I11" s="144" t="s">
        <v>75</v>
      </c>
      <c r="J11" s="144" t="s">
        <v>76</v>
      </c>
      <c r="K11" s="144" t="s">
        <v>77</v>
      </c>
      <c r="L11" s="144" t="s">
        <v>100</v>
      </c>
      <c r="M11" s="145"/>
      <c r="N11" s="146"/>
      <c r="AF11" s="42" t="s">
        <v>374</v>
      </c>
    </row>
    <row r="12" spans="1:14" ht="24" customHeight="1">
      <c r="A12" s="1085" t="s">
        <v>405</v>
      </c>
      <c r="B12" s="1086"/>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064" t="s">
        <v>361</v>
      </c>
      <c r="B13" s="1065"/>
      <c r="C13" s="148">
        <v>59</v>
      </c>
      <c r="D13" s="148">
        <v>43</v>
      </c>
      <c r="E13" s="148">
        <v>0</v>
      </c>
      <c r="F13" s="148">
        <v>5</v>
      </c>
      <c r="G13" s="148">
        <v>2</v>
      </c>
      <c r="H13" s="148">
        <v>7</v>
      </c>
      <c r="I13" s="148">
        <v>2</v>
      </c>
      <c r="J13" s="148">
        <v>10</v>
      </c>
      <c r="K13" s="148">
        <v>44</v>
      </c>
      <c r="L13" s="148">
        <v>5</v>
      </c>
      <c r="M13" s="145"/>
      <c r="N13" s="146"/>
    </row>
    <row r="14" spans="1:37" s="61" customFormat="1" ht="16.5" customHeight="1">
      <c r="A14" s="1074" t="s">
        <v>36</v>
      </c>
      <c r="B14" s="1075"/>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97</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18</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51</v>
      </c>
      <c r="B17" s="77" t="s">
        <v>375</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377</v>
      </c>
    </row>
    <row r="18" spans="1:14" s="157" customFormat="1" ht="16.5" customHeight="1">
      <c r="A18" s="156" t="s">
        <v>52</v>
      </c>
      <c r="B18" s="77" t="s">
        <v>407</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57</v>
      </c>
      <c r="B19" s="77" t="s">
        <v>378</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72</v>
      </c>
      <c r="B20" s="77" t="s">
        <v>379</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73</v>
      </c>
      <c r="B21" s="77" t="s">
        <v>380</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382</v>
      </c>
      <c r="AK21" s="157" t="s">
        <v>383</v>
      </c>
      <c r="AL21" s="157" t="s">
        <v>384</v>
      </c>
      <c r="AM21" s="72" t="s">
        <v>385</v>
      </c>
    </row>
    <row r="22" spans="1:39" s="157" customFormat="1" ht="16.5" customHeight="1">
      <c r="A22" s="156" t="s">
        <v>74</v>
      </c>
      <c r="B22" s="77" t="s">
        <v>381</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387</v>
      </c>
    </row>
    <row r="23" spans="1:14" s="157" customFormat="1" ht="16.5" customHeight="1">
      <c r="A23" s="156" t="s">
        <v>75</v>
      </c>
      <c r="B23" s="77" t="s">
        <v>386</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76</v>
      </c>
      <c r="B24" s="77" t="s">
        <v>388</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382</v>
      </c>
    </row>
    <row r="25" spans="1:36" s="157" customFormat="1" ht="16.5" customHeight="1">
      <c r="A25" s="156" t="s">
        <v>77</v>
      </c>
      <c r="B25" s="77" t="s">
        <v>389</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391</v>
      </c>
    </row>
    <row r="26" spans="1:44" s="79" customFormat="1" ht="16.5" customHeight="1">
      <c r="A26" s="160" t="s">
        <v>100</v>
      </c>
      <c r="B26" s="77" t="s">
        <v>390</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101</v>
      </c>
      <c r="B27" s="77" t="s">
        <v>392</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394</v>
      </c>
      <c r="AI28" s="166">
        <f>82/88</f>
        <v>0.9318181818181818</v>
      </c>
    </row>
    <row r="29" spans="1:13" ht="16.5" customHeight="1">
      <c r="A29" s="990" t="s">
        <v>465</v>
      </c>
      <c r="B29" s="1078"/>
      <c r="C29" s="1078"/>
      <c r="D29" s="1078"/>
      <c r="E29" s="167"/>
      <c r="F29" s="167"/>
      <c r="G29" s="167"/>
      <c r="H29" s="1087" t="s">
        <v>415</v>
      </c>
      <c r="I29" s="1087"/>
      <c r="J29" s="1087"/>
      <c r="K29" s="1087"/>
      <c r="L29" s="1087"/>
      <c r="M29" s="168"/>
    </row>
    <row r="30" spans="1:12" ht="18.75">
      <c r="A30" s="1078"/>
      <c r="B30" s="1078"/>
      <c r="C30" s="1078"/>
      <c r="D30" s="1078"/>
      <c r="E30" s="167"/>
      <c r="F30" s="167"/>
      <c r="G30" s="167"/>
      <c r="H30" s="1088" t="s">
        <v>416</v>
      </c>
      <c r="I30" s="1088"/>
      <c r="J30" s="1088"/>
      <c r="K30" s="1088"/>
      <c r="L30" s="1088"/>
    </row>
    <row r="31" spans="1:12" s="41" customFormat="1" ht="16.5" customHeight="1">
      <c r="A31" s="1018"/>
      <c r="B31" s="1018"/>
      <c r="C31" s="1018"/>
      <c r="D31" s="1018"/>
      <c r="E31" s="169"/>
      <c r="F31" s="169"/>
      <c r="G31" s="169"/>
      <c r="H31" s="1019"/>
      <c r="I31" s="1019"/>
      <c r="J31" s="1019"/>
      <c r="K31" s="1019"/>
      <c r="L31" s="1019"/>
    </row>
    <row r="32" spans="1:12" ht="18.75">
      <c r="A32" s="98"/>
      <c r="B32" s="1018" t="s">
        <v>397</v>
      </c>
      <c r="C32" s="1018"/>
      <c r="D32" s="1018"/>
      <c r="E32" s="169"/>
      <c r="F32" s="169"/>
      <c r="G32" s="169"/>
      <c r="H32" s="169"/>
      <c r="I32" s="1066" t="s">
        <v>397</v>
      </c>
      <c r="J32" s="1066"/>
      <c r="K32" s="1066"/>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1015" t="s">
        <v>350</v>
      </c>
      <c r="B37" s="1015"/>
      <c r="C37" s="1015"/>
      <c r="D37" s="1015"/>
      <c r="E37" s="100"/>
      <c r="F37" s="100"/>
      <c r="G37" s="100"/>
      <c r="H37" s="1016" t="s">
        <v>350</v>
      </c>
      <c r="I37" s="1016"/>
      <c r="J37" s="1016"/>
      <c r="K37" s="1016"/>
      <c r="L37" s="1016"/>
      <c r="M37" s="172"/>
    </row>
    <row r="38" spans="1:12" ht="22.5" customHeight="1">
      <c r="A38" s="98"/>
      <c r="B38" s="169"/>
      <c r="C38" s="169"/>
      <c r="D38" s="169"/>
      <c r="E38" s="169"/>
      <c r="F38" s="169"/>
      <c r="G38" s="169"/>
      <c r="H38" s="169"/>
      <c r="I38" s="169"/>
      <c r="J38" s="169"/>
      <c r="K38" s="98"/>
      <c r="L38" s="98"/>
    </row>
    <row r="39" spans="1:12" ht="19.5">
      <c r="A39" s="173" t="s">
        <v>46</v>
      </c>
      <c r="B39" s="169"/>
      <c r="C39" s="169"/>
      <c r="D39" s="169"/>
      <c r="E39" s="169"/>
      <c r="F39" s="169"/>
      <c r="G39" s="169"/>
      <c r="H39" s="169"/>
      <c r="I39" s="169"/>
      <c r="J39" s="169"/>
      <c r="K39" s="98"/>
      <c r="L39" s="98"/>
    </row>
    <row r="40" spans="2:12" ht="15.75" customHeight="1">
      <c r="B40" s="1073" t="s">
        <v>58</v>
      </c>
      <c r="C40" s="1073"/>
      <c r="D40" s="1073"/>
      <c r="E40" s="1073"/>
      <c r="F40" s="1073"/>
      <c r="G40" s="1073"/>
      <c r="H40" s="1073"/>
      <c r="I40" s="1073"/>
      <c r="J40" s="1073"/>
      <c r="K40" s="1073"/>
      <c r="L40" s="1073"/>
    </row>
    <row r="41" spans="1:12" ht="16.5" customHeight="1">
      <c r="A41" s="174"/>
      <c r="B41" s="1072" t="s">
        <v>60</v>
      </c>
      <c r="C41" s="1072"/>
      <c r="D41" s="1072"/>
      <c r="E41" s="1072"/>
      <c r="F41" s="1072"/>
      <c r="G41" s="1072"/>
      <c r="H41" s="1072"/>
      <c r="I41" s="1072"/>
      <c r="J41" s="1072"/>
      <c r="K41" s="1072"/>
      <c r="L41" s="1072"/>
    </row>
    <row r="42" ht="15.75">
      <c r="B42" s="47" t="s">
        <v>59</v>
      </c>
    </row>
  </sheetData>
  <sheetProtection/>
  <mergeCells count="38">
    <mergeCell ref="J4:L4"/>
    <mergeCell ref="A6:B10"/>
    <mergeCell ref="A12:B12"/>
    <mergeCell ref="A31:D31"/>
    <mergeCell ref="H29:L29"/>
    <mergeCell ref="H30:L30"/>
    <mergeCell ref="H31:L31"/>
    <mergeCell ref="J5:L5"/>
    <mergeCell ref="D4:I4"/>
    <mergeCell ref="J9:L9"/>
    <mergeCell ref="A4:C4"/>
    <mergeCell ref="D8:D10"/>
    <mergeCell ref="F9:I9"/>
    <mergeCell ref="B41:L41"/>
    <mergeCell ref="B40:L40"/>
    <mergeCell ref="A14:B14"/>
    <mergeCell ref="A11:B11"/>
    <mergeCell ref="A29:D30"/>
    <mergeCell ref="H37:L37"/>
    <mergeCell ref="A37:D37"/>
    <mergeCell ref="B32:D32"/>
    <mergeCell ref="A13:B13"/>
    <mergeCell ref="I32:K32"/>
    <mergeCell ref="A1:C1"/>
    <mergeCell ref="A2:C2"/>
    <mergeCell ref="A3:C3"/>
    <mergeCell ref="D1:I3"/>
    <mergeCell ref="J1:L1"/>
    <mergeCell ref="J2:L2"/>
    <mergeCell ref="J3:L3"/>
    <mergeCell ref="N6:N10"/>
    <mergeCell ref="C6:C10"/>
    <mergeCell ref="E9:E10"/>
    <mergeCell ref="D6:I6"/>
    <mergeCell ref="E8:I8"/>
    <mergeCell ref="J6:L8"/>
    <mergeCell ref="D7:I7"/>
    <mergeCell ref="M6:M1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107" t="s">
        <v>227</v>
      </c>
      <c r="B1" s="1107"/>
      <c r="C1" s="1107"/>
      <c r="D1" s="1102" t="s">
        <v>419</v>
      </c>
      <c r="E1" s="1103"/>
      <c r="F1" s="1103"/>
      <c r="G1" s="1103"/>
      <c r="H1" s="1103"/>
      <c r="I1" s="1103"/>
      <c r="J1" s="1103"/>
      <c r="K1" s="1103"/>
      <c r="L1" s="1103"/>
      <c r="M1" s="1103"/>
      <c r="N1" s="1103"/>
      <c r="O1" s="221"/>
      <c r="P1" s="178" t="s">
        <v>469</v>
      </c>
      <c r="Q1" s="177"/>
      <c r="R1" s="177"/>
      <c r="S1" s="177"/>
      <c r="T1" s="177"/>
      <c r="U1" s="221"/>
    </row>
    <row r="2" spans="1:21" ht="16.5" customHeight="1">
      <c r="A2" s="1104" t="s">
        <v>420</v>
      </c>
      <c r="B2" s="1104"/>
      <c r="C2" s="1104"/>
      <c r="D2" s="1103"/>
      <c r="E2" s="1103"/>
      <c r="F2" s="1103"/>
      <c r="G2" s="1103"/>
      <c r="H2" s="1103"/>
      <c r="I2" s="1103"/>
      <c r="J2" s="1103"/>
      <c r="K2" s="1103"/>
      <c r="L2" s="1103"/>
      <c r="M2" s="1103"/>
      <c r="N2" s="1103"/>
      <c r="O2" s="222"/>
      <c r="P2" s="1095" t="s">
        <v>421</v>
      </c>
      <c r="Q2" s="1095"/>
      <c r="R2" s="1095"/>
      <c r="S2" s="1095"/>
      <c r="T2" s="1095"/>
      <c r="U2" s="222"/>
    </row>
    <row r="3" spans="1:21" ht="16.5" customHeight="1">
      <c r="A3" s="1123" t="s">
        <v>422</v>
      </c>
      <c r="B3" s="1123"/>
      <c r="C3" s="1123"/>
      <c r="D3" s="1108" t="s">
        <v>423</v>
      </c>
      <c r="E3" s="1108"/>
      <c r="F3" s="1108"/>
      <c r="G3" s="1108"/>
      <c r="H3" s="1108"/>
      <c r="I3" s="1108"/>
      <c r="J3" s="1108"/>
      <c r="K3" s="1108"/>
      <c r="L3" s="1108"/>
      <c r="M3" s="1108"/>
      <c r="N3" s="1108"/>
      <c r="O3" s="222"/>
      <c r="P3" s="182" t="s">
        <v>468</v>
      </c>
      <c r="Q3" s="222"/>
      <c r="R3" s="222"/>
      <c r="S3" s="222"/>
      <c r="T3" s="222"/>
      <c r="U3" s="222"/>
    </row>
    <row r="4" spans="1:21" ht="16.5" customHeight="1">
      <c r="A4" s="1109" t="s">
        <v>362</v>
      </c>
      <c r="B4" s="1109"/>
      <c r="C4" s="1109"/>
      <c r="D4" s="1130"/>
      <c r="E4" s="1130"/>
      <c r="F4" s="1130"/>
      <c r="G4" s="1130"/>
      <c r="H4" s="1130"/>
      <c r="I4" s="1130"/>
      <c r="J4" s="1130"/>
      <c r="K4" s="1130"/>
      <c r="L4" s="1130"/>
      <c r="M4" s="1130"/>
      <c r="N4" s="1130"/>
      <c r="O4" s="222"/>
      <c r="P4" s="181" t="s">
        <v>401</v>
      </c>
      <c r="Q4" s="222"/>
      <c r="R4" s="222"/>
      <c r="S4" s="222"/>
      <c r="T4" s="222"/>
      <c r="U4" s="222"/>
    </row>
    <row r="5" spans="12:21" ht="16.5" customHeight="1">
      <c r="L5" s="223"/>
      <c r="M5" s="223"/>
      <c r="N5" s="223"/>
      <c r="O5" s="185"/>
      <c r="P5" s="184" t="s">
        <v>424</v>
      </c>
      <c r="Q5" s="185"/>
      <c r="R5" s="185"/>
      <c r="S5" s="185"/>
      <c r="T5" s="185"/>
      <c r="U5" s="181"/>
    </row>
    <row r="6" spans="1:21" s="226" customFormat="1" ht="15.75" customHeight="1">
      <c r="A6" s="1096" t="s">
        <v>71</v>
      </c>
      <c r="B6" s="1097"/>
      <c r="C6" s="1091" t="s">
        <v>228</v>
      </c>
      <c r="D6" s="1105" t="s">
        <v>229</v>
      </c>
      <c r="E6" s="1106"/>
      <c r="F6" s="1106"/>
      <c r="G6" s="1106"/>
      <c r="H6" s="1106"/>
      <c r="I6" s="1106"/>
      <c r="J6" s="1106"/>
      <c r="K6" s="1106"/>
      <c r="L6" s="1106"/>
      <c r="M6" s="1106"/>
      <c r="N6" s="1106"/>
      <c r="O6" s="1106"/>
      <c r="P6" s="1106"/>
      <c r="Q6" s="1106"/>
      <c r="R6" s="1106"/>
      <c r="S6" s="1106"/>
      <c r="T6" s="1091" t="s">
        <v>230</v>
      </c>
      <c r="U6" s="225"/>
    </row>
    <row r="7" spans="1:20" s="227" customFormat="1" ht="12.75" customHeight="1">
      <c r="A7" s="1098"/>
      <c r="B7" s="1099"/>
      <c r="C7" s="1091"/>
      <c r="D7" s="1127" t="s">
        <v>225</v>
      </c>
      <c r="E7" s="1106" t="s">
        <v>7</v>
      </c>
      <c r="F7" s="1106"/>
      <c r="G7" s="1106"/>
      <c r="H7" s="1106"/>
      <c r="I7" s="1106"/>
      <c r="J7" s="1106"/>
      <c r="K7" s="1106"/>
      <c r="L7" s="1106"/>
      <c r="M7" s="1106"/>
      <c r="N7" s="1106"/>
      <c r="O7" s="1106"/>
      <c r="P7" s="1106"/>
      <c r="Q7" s="1106"/>
      <c r="R7" s="1106"/>
      <c r="S7" s="1106"/>
      <c r="T7" s="1091"/>
    </row>
    <row r="8" spans="1:21" s="227" customFormat="1" ht="43.5" customHeight="1">
      <c r="A8" s="1098"/>
      <c r="B8" s="1099"/>
      <c r="C8" s="1091"/>
      <c r="D8" s="1128"/>
      <c r="E8" s="1094" t="s">
        <v>231</v>
      </c>
      <c r="F8" s="1091"/>
      <c r="G8" s="1091"/>
      <c r="H8" s="1091" t="s">
        <v>232</v>
      </c>
      <c r="I8" s="1091"/>
      <c r="J8" s="1091"/>
      <c r="K8" s="1091" t="s">
        <v>233</v>
      </c>
      <c r="L8" s="1091"/>
      <c r="M8" s="1091" t="s">
        <v>234</v>
      </c>
      <c r="N8" s="1091"/>
      <c r="O8" s="1091"/>
      <c r="P8" s="1091" t="s">
        <v>235</v>
      </c>
      <c r="Q8" s="1091" t="s">
        <v>236</v>
      </c>
      <c r="R8" s="1091" t="s">
        <v>237</v>
      </c>
      <c r="S8" s="1110" t="s">
        <v>238</v>
      </c>
      <c r="T8" s="1091"/>
      <c r="U8" s="1120" t="s">
        <v>425</v>
      </c>
    </row>
    <row r="9" spans="1:21" s="227" customFormat="1" ht="44.25" customHeight="1">
      <c r="A9" s="1100"/>
      <c r="B9" s="1101"/>
      <c r="C9" s="1091"/>
      <c r="D9" s="1129"/>
      <c r="E9" s="228" t="s">
        <v>239</v>
      </c>
      <c r="F9" s="224" t="s">
        <v>240</v>
      </c>
      <c r="G9" s="224" t="s">
        <v>426</v>
      </c>
      <c r="H9" s="224" t="s">
        <v>241</v>
      </c>
      <c r="I9" s="224" t="s">
        <v>242</v>
      </c>
      <c r="J9" s="224" t="s">
        <v>243</v>
      </c>
      <c r="K9" s="224" t="s">
        <v>240</v>
      </c>
      <c r="L9" s="224" t="s">
        <v>244</v>
      </c>
      <c r="M9" s="224" t="s">
        <v>245</v>
      </c>
      <c r="N9" s="224" t="s">
        <v>246</v>
      </c>
      <c r="O9" s="224" t="s">
        <v>427</v>
      </c>
      <c r="P9" s="1091"/>
      <c r="Q9" s="1091"/>
      <c r="R9" s="1091"/>
      <c r="S9" s="1110"/>
      <c r="T9" s="1091"/>
      <c r="U9" s="1121"/>
    </row>
    <row r="10" spans="1:21" s="231" customFormat="1" ht="15.75" customHeight="1">
      <c r="A10" s="1124" t="s">
        <v>6</v>
      </c>
      <c r="B10" s="1125"/>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121"/>
    </row>
    <row r="11" spans="1:21" s="231" customFormat="1" ht="15.75" customHeight="1">
      <c r="A11" s="1092" t="s">
        <v>405</v>
      </c>
      <c r="B11" s="1093"/>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122"/>
    </row>
    <row r="12" spans="1:21" s="231" customFormat="1" ht="15.75" customHeight="1">
      <c r="A12" s="1111" t="s">
        <v>406</v>
      </c>
      <c r="B12" s="1112"/>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117" t="s">
        <v>36</v>
      </c>
      <c r="B13" s="1118"/>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97</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18</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51</v>
      </c>
      <c r="B16" s="77" t="s">
        <v>375</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52</v>
      </c>
      <c r="B17" s="77" t="s">
        <v>407</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57</v>
      </c>
      <c r="B18" s="77" t="s">
        <v>378</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72</v>
      </c>
      <c r="B19" s="77" t="s">
        <v>379</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73</v>
      </c>
      <c r="B20" s="77" t="s">
        <v>380</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74</v>
      </c>
      <c r="B21" s="77" t="s">
        <v>381</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75</v>
      </c>
      <c r="B22" s="77" t="s">
        <v>386</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76</v>
      </c>
      <c r="B23" s="77" t="s">
        <v>388</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77</v>
      </c>
      <c r="B24" s="77" t="s">
        <v>389</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100</v>
      </c>
      <c r="B25" s="77" t="s">
        <v>390</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101</v>
      </c>
      <c r="B26" s="77" t="s">
        <v>392</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126" t="s">
        <v>393</v>
      </c>
      <c r="C28" s="1126"/>
      <c r="D28" s="1126"/>
      <c r="E28" s="1126"/>
      <c r="F28" s="190"/>
      <c r="G28" s="190"/>
      <c r="H28" s="190"/>
      <c r="I28" s="190"/>
      <c r="J28" s="190"/>
      <c r="K28" s="190" t="s">
        <v>247</v>
      </c>
      <c r="L28" s="191"/>
      <c r="M28" s="1131" t="s">
        <v>428</v>
      </c>
      <c r="N28" s="1131"/>
      <c r="O28" s="1131"/>
      <c r="P28" s="1131"/>
      <c r="Q28" s="1131"/>
      <c r="R28" s="1131"/>
      <c r="S28" s="1131"/>
      <c r="T28" s="1131"/>
    </row>
    <row r="29" spans="1:20" s="242" customFormat="1" ht="18.75" customHeight="1">
      <c r="A29" s="241"/>
      <c r="B29" s="1116" t="s">
        <v>248</v>
      </c>
      <c r="C29" s="1116"/>
      <c r="D29" s="1116"/>
      <c r="E29" s="243"/>
      <c r="F29" s="192"/>
      <c r="G29" s="192"/>
      <c r="H29" s="192"/>
      <c r="I29" s="192"/>
      <c r="J29" s="192"/>
      <c r="K29" s="192"/>
      <c r="L29" s="191"/>
      <c r="M29" s="1119" t="s">
        <v>417</v>
      </c>
      <c r="N29" s="1119"/>
      <c r="O29" s="1119"/>
      <c r="P29" s="1119"/>
      <c r="Q29" s="1119"/>
      <c r="R29" s="1119"/>
      <c r="S29" s="1119"/>
      <c r="T29" s="1119"/>
    </row>
    <row r="30" spans="1:20" s="242" customFormat="1" ht="18.75">
      <c r="A30" s="193"/>
      <c r="B30" s="1113"/>
      <c r="C30" s="1113"/>
      <c r="D30" s="1113"/>
      <c r="E30" s="195"/>
      <c r="F30" s="195"/>
      <c r="G30" s="195"/>
      <c r="H30" s="195"/>
      <c r="I30" s="195"/>
      <c r="J30" s="195"/>
      <c r="K30" s="195"/>
      <c r="L30" s="195"/>
      <c r="M30" s="1114"/>
      <c r="N30" s="1114"/>
      <c r="O30" s="1114"/>
      <c r="P30" s="1114"/>
      <c r="Q30" s="1114"/>
      <c r="R30" s="1114"/>
      <c r="S30" s="1114"/>
      <c r="T30" s="1114"/>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250</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251</v>
      </c>
      <c r="C34" s="195"/>
      <c r="D34" s="195"/>
      <c r="E34" s="195"/>
      <c r="F34" s="195"/>
      <c r="G34" s="195"/>
      <c r="H34" s="195"/>
      <c r="I34" s="195"/>
      <c r="J34" s="195"/>
      <c r="K34" s="195"/>
      <c r="L34" s="195"/>
      <c r="M34" s="195"/>
      <c r="N34" s="195"/>
      <c r="O34" s="195"/>
      <c r="P34" s="195"/>
      <c r="Q34" s="195"/>
      <c r="R34" s="195"/>
      <c r="S34" s="195"/>
      <c r="T34" s="195"/>
    </row>
    <row r="35" spans="2:20" ht="18.75" hidden="1">
      <c r="B35" s="245" t="s">
        <v>252</v>
      </c>
      <c r="C35" s="195"/>
      <c r="D35" s="195"/>
      <c r="E35" s="195"/>
      <c r="F35" s="195"/>
      <c r="G35" s="195"/>
      <c r="H35" s="195"/>
      <c r="I35" s="195"/>
      <c r="J35" s="195"/>
      <c r="K35" s="195"/>
      <c r="L35" s="195"/>
      <c r="M35" s="195"/>
      <c r="N35" s="195"/>
      <c r="O35" s="195"/>
      <c r="P35" s="195"/>
      <c r="Q35" s="195"/>
      <c r="R35" s="195"/>
      <c r="S35" s="195"/>
      <c r="T35" s="195"/>
    </row>
    <row r="36" spans="2:20" s="220" customFormat="1" ht="18.75">
      <c r="B36" s="1115" t="s">
        <v>397</v>
      </c>
      <c r="C36" s="1115"/>
      <c r="D36" s="1115"/>
      <c r="E36" s="245"/>
      <c r="F36" s="245"/>
      <c r="G36" s="245"/>
      <c r="H36" s="245"/>
      <c r="I36" s="245"/>
      <c r="J36" s="245"/>
      <c r="K36" s="245"/>
      <c r="L36" s="245"/>
      <c r="M36" s="245"/>
      <c r="N36" s="1115" t="s">
        <v>397</v>
      </c>
      <c r="O36" s="1115"/>
      <c r="P36" s="1115"/>
      <c r="Q36" s="1115"/>
      <c r="R36" s="1115"/>
      <c r="S36" s="1115"/>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1015" t="s">
        <v>350</v>
      </c>
      <c r="C38" s="1015"/>
      <c r="D38" s="1015"/>
      <c r="E38" s="219"/>
      <c r="F38" s="219"/>
      <c r="G38" s="219"/>
      <c r="H38" s="219"/>
      <c r="I38" s="191"/>
      <c r="J38" s="191"/>
      <c r="K38" s="191"/>
      <c r="L38" s="191"/>
      <c r="M38" s="1016" t="s">
        <v>351</v>
      </c>
      <c r="N38" s="1016"/>
      <c r="O38" s="1016"/>
      <c r="P38" s="1016"/>
      <c r="Q38" s="1016"/>
      <c r="R38" s="1016"/>
      <c r="S38" s="1016"/>
      <c r="T38" s="1016"/>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144" t="s">
        <v>253</v>
      </c>
      <c r="B1" s="1144"/>
      <c r="C1" s="1144"/>
      <c r="D1" s="247"/>
      <c r="E1" s="1149" t="s">
        <v>254</v>
      </c>
      <c r="F1" s="1149"/>
      <c r="G1" s="1149"/>
      <c r="H1" s="1149"/>
      <c r="I1" s="1149"/>
      <c r="J1" s="1149"/>
      <c r="K1" s="1149"/>
      <c r="L1" s="1149"/>
      <c r="M1" s="1149"/>
      <c r="N1" s="1149"/>
      <c r="O1" s="200"/>
      <c r="P1" s="1140" t="s">
        <v>467</v>
      </c>
      <c r="Q1" s="1140"/>
      <c r="R1" s="1140"/>
      <c r="S1" s="1140"/>
      <c r="T1" s="1140"/>
    </row>
    <row r="2" spans="1:20" ht="15.75" customHeight="1">
      <c r="A2" s="1145" t="s">
        <v>429</v>
      </c>
      <c r="B2" s="1145"/>
      <c r="C2" s="1145"/>
      <c r="D2" s="1145"/>
      <c r="E2" s="1147" t="s">
        <v>255</v>
      </c>
      <c r="F2" s="1147"/>
      <c r="G2" s="1147"/>
      <c r="H2" s="1147"/>
      <c r="I2" s="1147"/>
      <c r="J2" s="1147"/>
      <c r="K2" s="1147"/>
      <c r="L2" s="1147"/>
      <c r="M2" s="1147"/>
      <c r="N2" s="1147"/>
      <c r="O2" s="203"/>
      <c r="P2" s="1142" t="s">
        <v>409</v>
      </c>
      <c r="Q2" s="1142"/>
      <c r="R2" s="1142"/>
      <c r="S2" s="1142"/>
      <c r="T2" s="1142"/>
    </row>
    <row r="3" spans="1:20" ht="17.25">
      <c r="A3" s="1145" t="s">
        <v>360</v>
      </c>
      <c r="B3" s="1145"/>
      <c r="C3" s="1145"/>
      <c r="D3" s="248"/>
      <c r="E3" s="1150" t="s">
        <v>361</v>
      </c>
      <c r="F3" s="1150"/>
      <c r="G3" s="1150"/>
      <c r="H3" s="1150"/>
      <c r="I3" s="1150"/>
      <c r="J3" s="1150"/>
      <c r="K3" s="1150"/>
      <c r="L3" s="1150"/>
      <c r="M3" s="1150"/>
      <c r="N3" s="1150"/>
      <c r="O3" s="203"/>
      <c r="P3" s="1143" t="s">
        <v>468</v>
      </c>
      <c r="Q3" s="1143"/>
      <c r="R3" s="1143"/>
      <c r="S3" s="1143"/>
      <c r="T3" s="1143"/>
    </row>
    <row r="4" spans="1:20" ht="18.75" customHeight="1">
      <c r="A4" s="1146" t="s">
        <v>362</v>
      </c>
      <c r="B4" s="1146"/>
      <c r="C4" s="1146"/>
      <c r="D4" s="1148"/>
      <c r="E4" s="1148"/>
      <c r="F4" s="1148"/>
      <c r="G4" s="1148"/>
      <c r="H4" s="1148"/>
      <c r="I4" s="1148"/>
      <c r="J4" s="1148"/>
      <c r="K4" s="1148"/>
      <c r="L4" s="1148"/>
      <c r="M4" s="1148"/>
      <c r="N4" s="1148"/>
      <c r="O4" s="204"/>
      <c r="P4" s="1142" t="s">
        <v>401</v>
      </c>
      <c r="Q4" s="1143"/>
      <c r="R4" s="1143"/>
      <c r="S4" s="1143"/>
      <c r="T4" s="1143"/>
    </row>
    <row r="5" spans="1:23" ht="15">
      <c r="A5" s="217"/>
      <c r="B5" s="217"/>
      <c r="C5" s="249"/>
      <c r="D5" s="249"/>
      <c r="E5" s="217"/>
      <c r="F5" s="217"/>
      <c r="G5" s="217"/>
      <c r="H5" s="217"/>
      <c r="I5" s="217"/>
      <c r="J5" s="217"/>
      <c r="K5" s="217"/>
      <c r="L5" s="217"/>
      <c r="P5" s="1139" t="s">
        <v>424</v>
      </c>
      <c r="Q5" s="1139"/>
      <c r="R5" s="1139"/>
      <c r="S5" s="1139"/>
      <c r="T5" s="1139"/>
      <c r="U5" s="250"/>
      <c r="V5" s="250"/>
      <c r="W5" s="250"/>
    </row>
    <row r="6" spans="1:23" ht="29.25" customHeight="1">
      <c r="A6" s="1096" t="s">
        <v>71</v>
      </c>
      <c r="B6" s="1172"/>
      <c r="C6" s="1167" t="s">
        <v>2</v>
      </c>
      <c r="D6" s="1132" t="s">
        <v>256</v>
      </c>
      <c r="E6" s="1133"/>
      <c r="F6" s="1133"/>
      <c r="G6" s="1133"/>
      <c r="H6" s="1133"/>
      <c r="I6" s="1133"/>
      <c r="J6" s="1134"/>
      <c r="K6" s="1151" t="s">
        <v>257</v>
      </c>
      <c r="L6" s="1152"/>
      <c r="M6" s="1152"/>
      <c r="N6" s="1152"/>
      <c r="O6" s="1152"/>
      <c r="P6" s="1152"/>
      <c r="Q6" s="1152"/>
      <c r="R6" s="1152"/>
      <c r="S6" s="1152"/>
      <c r="T6" s="1153"/>
      <c r="U6" s="251"/>
      <c r="V6" s="252"/>
      <c r="W6" s="252"/>
    </row>
    <row r="7" spans="1:20" ht="19.5" customHeight="1">
      <c r="A7" s="1098"/>
      <c r="B7" s="1173"/>
      <c r="C7" s="1168"/>
      <c r="D7" s="1133" t="s">
        <v>7</v>
      </c>
      <c r="E7" s="1133"/>
      <c r="F7" s="1133"/>
      <c r="G7" s="1133"/>
      <c r="H7" s="1133"/>
      <c r="I7" s="1133"/>
      <c r="J7" s="1134"/>
      <c r="K7" s="1154"/>
      <c r="L7" s="1155"/>
      <c r="M7" s="1155"/>
      <c r="N7" s="1155"/>
      <c r="O7" s="1155"/>
      <c r="P7" s="1155"/>
      <c r="Q7" s="1155"/>
      <c r="R7" s="1155"/>
      <c r="S7" s="1155"/>
      <c r="T7" s="1156"/>
    </row>
    <row r="8" spans="1:20" ht="33" customHeight="1">
      <c r="A8" s="1098"/>
      <c r="B8" s="1173"/>
      <c r="C8" s="1168"/>
      <c r="D8" s="1135" t="s">
        <v>258</v>
      </c>
      <c r="E8" s="1137"/>
      <c r="F8" s="1136" t="s">
        <v>259</v>
      </c>
      <c r="G8" s="1137"/>
      <c r="H8" s="1136" t="s">
        <v>260</v>
      </c>
      <c r="I8" s="1137"/>
      <c r="J8" s="1136" t="s">
        <v>261</v>
      </c>
      <c r="K8" s="1138" t="s">
        <v>262</v>
      </c>
      <c r="L8" s="1138"/>
      <c r="M8" s="1138"/>
      <c r="N8" s="1138" t="s">
        <v>263</v>
      </c>
      <c r="O8" s="1138"/>
      <c r="P8" s="1138"/>
      <c r="Q8" s="1136" t="s">
        <v>264</v>
      </c>
      <c r="R8" s="1141" t="s">
        <v>265</v>
      </c>
      <c r="S8" s="1141" t="s">
        <v>266</v>
      </c>
      <c r="T8" s="1136" t="s">
        <v>267</v>
      </c>
    </row>
    <row r="9" spans="1:20" ht="18.75" customHeight="1">
      <c r="A9" s="1098"/>
      <c r="B9" s="1173"/>
      <c r="C9" s="1168"/>
      <c r="D9" s="1135" t="s">
        <v>268</v>
      </c>
      <c r="E9" s="1136" t="s">
        <v>269</v>
      </c>
      <c r="F9" s="1136" t="s">
        <v>268</v>
      </c>
      <c r="G9" s="1136" t="s">
        <v>269</v>
      </c>
      <c r="H9" s="1136" t="s">
        <v>268</v>
      </c>
      <c r="I9" s="1136" t="s">
        <v>270</v>
      </c>
      <c r="J9" s="1136"/>
      <c r="K9" s="1138"/>
      <c r="L9" s="1138"/>
      <c r="M9" s="1138"/>
      <c r="N9" s="1138"/>
      <c r="O9" s="1138"/>
      <c r="P9" s="1138"/>
      <c r="Q9" s="1136"/>
      <c r="R9" s="1141"/>
      <c r="S9" s="1141"/>
      <c r="T9" s="1136"/>
    </row>
    <row r="10" spans="1:20" ht="23.25" customHeight="1">
      <c r="A10" s="1100"/>
      <c r="B10" s="1174"/>
      <c r="C10" s="1169"/>
      <c r="D10" s="1135"/>
      <c r="E10" s="1136"/>
      <c r="F10" s="1136"/>
      <c r="G10" s="1136"/>
      <c r="H10" s="1136"/>
      <c r="I10" s="1136"/>
      <c r="J10" s="1136"/>
      <c r="K10" s="253" t="s">
        <v>271</v>
      </c>
      <c r="L10" s="253" t="s">
        <v>246</v>
      </c>
      <c r="M10" s="253" t="s">
        <v>272</v>
      </c>
      <c r="N10" s="253" t="s">
        <v>271</v>
      </c>
      <c r="O10" s="253" t="s">
        <v>273</v>
      </c>
      <c r="P10" s="253" t="s">
        <v>274</v>
      </c>
      <c r="Q10" s="1136"/>
      <c r="R10" s="1141"/>
      <c r="S10" s="1141"/>
      <c r="T10" s="1136"/>
    </row>
    <row r="11" spans="1:32" s="210" customFormat="1" ht="17.25" customHeight="1">
      <c r="A11" s="1170" t="s">
        <v>6</v>
      </c>
      <c r="B11" s="1171"/>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157" t="s">
        <v>430</v>
      </c>
      <c r="B12" s="1158"/>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162" t="s">
        <v>406</v>
      </c>
      <c r="B13" s="1163"/>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166" t="s">
        <v>275</v>
      </c>
      <c r="B14" s="1135"/>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97</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18</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375</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407</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378</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379</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380</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381</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386</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388</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389</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390</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392</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394</v>
      </c>
      <c r="AI28" s="199">
        <f>82/88</f>
        <v>0.9318181818181818</v>
      </c>
    </row>
    <row r="29" spans="1:20" ht="15.75" customHeight="1">
      <c r="A29" s="211"/>
      <c r="B29" s="1160" t="s">
        <v>418</v>
      </c>
      <c r="C29" s="1160"/>
      <c r="D29" s="1160"/>
      <c r="E29" s="1160"/>
      <c r="F29" s="267"/>
      <c r="G29" s="267"/>
      <c r="H29" s="267"/>
      <c r="I29" s="267"/>
      <c r="J29" s="267"/>
      <c r="K29" s="267"/>
      <c r="L29" s="215"/>
      <c r="M29" s="1159" t="s">
        <v>431</v>
      </c>
      <c r="N29" s="1159"/>
      <c r="O29" s="1159"/>
      <c r="P29" s="1159"/>
      <c r="Q29" s="1159"/>
      <c r="R29" s="1159"/>
      <c r="S29" s="1159"/>
      <c r="T29" s="1159"/>
    </row>
    <row r="30" spans="1:20" ht="18.75" customHeight="1">
      <c r="A30" s="211"/>
      <c r="B30" s="1161" t="s">
        <v>248</v>
      </c>
      <c r="C30" s="1161"/>
      <c r="D30" s="1161"/>
      <c r="E30" s="1161"/>
      <c r="F30" s="214"/>
      <c r="G30" s="214"/>
      <c r="H30" s="214"/>
      <c r="I30" s="214"/>
      <c r="J30" s="214"/>
      <c r="K30" s="214"/>
      <c r="L30" s="215"/>
      <c r="M30" s="1165" t="s">
        <v>249</v>
      </c>
      <c r="N30" s="1165"/>
      <c r="O30" s="1165"/>
      <c r="P30" s="1165"/>
      <c r="Q30" s="1165"/>
      <c r="R30" s="1165"/>
      <c r="S30" s="1165"/>
      <c r="T30" s="1165"/>
    </row>
    <row r="31" spans="1:20" ht="18.75">
      <c r="A31" s="217"/>
      <c r="B31" s="1113"/>
      <c r="C31" s="1113"/>
      <c r="D31" s="1113"/>
      <c r="E31" s="1113"/>
      <c r="F31" s="218"/>
      <c r="G31" s="218"/>
      <c r="H31" s="218"/>
      <c r="I31" s="218"/>
      <c r="J31" s="218"/>
      <c r="K31" s="218"/>
      <c r="L31" s="218"/>
      <c r="M31" s="1114"/>
      <c r="N31" s="1114"/>
      <c r="O31" s="1114"/>
      <c r="P31" s="1114"/>
      <c r="Q31" s="1114"/>
      <c r="R31" s="1114"/>
      <c r="S31" s="1114"/>
      <c r="T31" s="1114"/>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164" t="s">
        <v>397</v>
      </c>
      <c r="C33" s="1164"/>
      <c r="D33" s="1164"/>
      <c r="E33" s="1164"/>
      <c r="F33" s="1164"/>
      <c r="G33" s="268"/>
      <c r="H33" s="268"/>
      <c r="I33" s="268"/>
      <c r="J33" s="268"/>
      <c r="K33" s="268"/>
      <c r="L33" s="268"/>
      <c r="M33" s="268"/>
      <c r="N33" s="1164" t="s">
        <v>397</v>
      </c>
      <c r="O33" s="1164"/>
      <c r="P33" s="1164"/>
      <c r="Q33" s="1164"/>
      <c r="R33" s="1164"/>
      <c r="S33" s="1164"/>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1015" t="s">
        <v>350</v>
      </c>
      <c r="C35" s="1015"/>
      <c r="D35" s="1015"/>
      <c r="E35" s="1015"/>
      <c r="F35" s="219"/>
      <c r="G35" s="219"/>
      <c r="H35" s="219"/>
      <c r="I35" s="191"/>
      <c r="J35" s="191"/>
      <c r="K35" s="191"/>
      <c r="L35" s="191"/>
      <c r="M35" s="1016" t="s">
        <v>351</v>
      </c>
      <c r="N35" s="1016"/>
      <c r="O35" s="1016"/>
      <c r="P35" s="1016"/>
      <c r="Q35" s="1016"/>
      <c r="R35" s="1016"/>
      <c r="S35" s="1016"/>
      <c r="T35" s="1016"/>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224</v>
      </c>
    </row>
    <row r="39" spans="2:8" s="271" customFormat="1" ht="15" hidden="1">
      <c r="B39" s="272" t="s">
        <v>276</v>
      </c>
      <c r="C39" s="272"/>
      <c r="D39" s="272"/>
      <c r="E39" s="272"/>
      <c r="F39" s="272"/>
      <c r="G39" s="272"/>
      <c r="H39" s="272"/>
    </row>
    <row r="40" spans="2:8" s="273" customFormat="1" ht="15" hidden="1">
      <c r="B40" s="272" t="s">
        <v>277</v>
      </c>
      <c r="C40" s="198"/>
      <c r="D40" s="198"/>
      <c r="E40" s="198"/>
      <c r="F40" s="198"/>
      <c r="G40" s="198"/>
      <c r="H40" s="198"/>
    </row>
    <row r="41" ht="12.75" hidden="1"/>
    <row r="42" ht="12.75" hidden="1"/>
    <row r="43" ht="12.75" hidden="1"/>
    <row r="44" ht="12.75" hidden="1"/>
    <row r="45" ht="12.75" hidden="1"/>
  </sheetData>
  <sheetProtection/>
  <mergeCells count="48">
    <mergeCell ref="N33:S33"/>
    <mergeCell ref="A14:B14"/>
    <mergeCell ref="C6:C10"/>
    <mergeCell ref="E9:E10"/>
    <mergeCell ref="A11:B11"/>
    <mergeCell ref="F9:F10"/>
    <mergeCell ref="D8:E8"/>
    <mergeCell ref="A6:B10"/>
    <mergeCell ref="H8:I8"/>
    <mergeCell ref="D7:J7"/>
    <mergeCell ref="A12:B12"/>
    <mergeCell ref="M35:T35"/>
    <mergeCell ref="M29:T29"/>
    <mergeCell ref="B35:E35"/>
    <mergeCell ref="B29:E29"/>
    <mergeCell ref="B30:E30"/>
    <mergeCell ref="A13:B13"/>
    <mergeCell ref="B33:F33"/>
    <mergeCell ref="M30:T30"/>
    <mergeCell ref="M31:T31"/>
    <mergeCell ref="B31:E31"/>
    <mergeCell ref="A1:C1"/>
    <mergeCell ref="A3:C3"/>
    <mergeCell ref="A4:C4"/>
    <mergeCell ref="E2:N2"/>
    <mergeCell ref="A2:D2"/>
    <mergeCell ref="D4:N4"/>
    <mergeCell ref="E1:N1"/>
    <mergeCell ref="E3:N3"/>
    <mergeCell ref="K6:T7"/>
    <mergeCell ref="P5:T5"/>
    <mergeCell ref="P1:T1"/>
    <mergeCell ref="S8:S10"/>
    <mergeCell ref="N8:P9"/>
    <mergeCell ref="Q8:Q10"/>
    <mergeCell ref="T8:T10"/>
    <mergeCell ref="R8:R10"/>
    <mergeCell ref="P2:T2"/>
    <mergeCell ref="P3:T3"/>
    <mergeCell ref="P4:T4"/>
    <mergeCell ref="D6:J6"/>
    <mergeCell ref="D9:D10"/>
    <mergeCell ref="F8:G8"/>
    <mergeCell ref="K8:M9"/>
    <mergeCell ref="J8:J10"/>
    <mergeCell ref="H9:H10"/>
    <mergeCell ref="G9:G10"/>
    <mergeCell ref="I9:I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181" t="s">
        <v>278</v>
      </c>
      <c r="B1" s="1181"/>
      <c r="C1" s="1181"/>
      <c r="D1" s="1184" t="s">
        <v>470</v>
      </c>
      <c r="E1" s="1184"/>
      <c r="F1" s="1184"/>
      <c r="G1" s="1184"/>
      <c r="H1" s="1184"/>
      <c r="I1" s="1184"/>
      <c r="J1" s="1185" t="s">
        <v>471</v>
      </c>
      <c r="K1" s="1186"/>
      <c r="L1" s="1186"/>
    </row>
    <row r="2" spans="1:12" ht="34.5" customHeight="1">
      <c r="A2" s="1187" t="s">
        <v>432</v>
      </c>
      <c r="B2" s="1187"/>
      <c r="C2" s="1187"/>
      <c r="D2" s="1184"/>
      <c r="E2" s="1184"/>
      <c r="F2" s="1184"/>
      <c r="G2" s="1184"/>
      <c r="H2" s="1184"/>
      <c r="I2" s="1184"/>
      <c r="J2" s="1188" t="s">
        <v>472</v>
      </c>
      <c r="K2" s="1189"/>
      <c r="L2" s="1189"/>
    </row>
    <row r="3" spans="1:12" ht="15" customHeight="1">
      <c r="A3" s="274" t="s">
        <v>362</v>
      </c>
      <c r="B3" s="183"/>
      <c r="C3" s="1190"/>
      <c r="D3" s="1190"/>
      <c r="E3" s="1190"/>
      <c r="F3" s="1190"/>
      <c r="G3" s="1190"/>
      <c r="H3" s="1190"/>
      <c r="I3" s="1190"/>
      <c r="J3" s="1182"/>
      <c r="K3" s="1183"/>
      <c r="L3" s="1183"/>
    </row>
    <row r="4" spans="1:12" ht="15.75" customHeight="1">
      <c r="A4" s="275"/>
      <c r="B4" s="275"/>
      <c r="C4" s="276"/>
      <c r="D4" s="276"/>
      <c r="E4" s="179"/>
      <c r="F4" s="179"/>
      <c r="G4" s="179"/>
      <c r="H4" s="277"/>
      <c r="I4" s="277"/>
      <c r="J4" s="1191" t="s">
        <v>279</v>
      </c>
      <c r="K4" s="1191"/>
      <c r="L4" s="1191"/>
    </row>
    <row r="5" spans="1:12" s="278" customFormat="1" ht="28.5" customHeight="1">
      <c r="A5" s="1176" t="s">
        <v>71</v>
      </c>
      <c r="B5" s="1176"/>
      <c r="C5" s="1091" t="s">
        <v>37</v>
      </c>
      <c r="D5" s="1091" t="s">
        <v>280</v>
      </c>
      <c r="E5" s="1091"/>
      <c r="F5" s="1091"/>
      <c r="G5" s="1091"/>
      <c r="H5" s="1091" t="s">
        <v>281</v>
      </c>
      <c r="I5" s="1091"/>
      <c r="J5" s="1091" t="s">
        <v>282</v>
      </c>
      <c r="K5" s="1091"/>
      <c r="L5" s="1091"/>
    </row>
    <row r="6" spans="1:13" s="278" customFormat="1" ht="80.25" customHeight="1">
      <c r="A6" s="1176"/>
      <c r="B6" s="1176"/>
      <c r="C6" s="1091"/>
      <c r="D6" s="224" t="s">
        <v>283</v>
      </c>
      <c r="E6" s="224" t="s">
        <v>284</v>
      </c>
      <c r="F6" s="224" t="s">
        <v>433</v>
      </c>
      <c r="G6" s="224" t="s">
        <v>285</v>
      </c>
      <c r="H6" s="224" t="s">
        <v>286</v>
      </c>
      <c r="I6" s="224" t="s">
        <v>287</v>
      </c>
      <c r="J6" s="224" t="s">
        <v>288</v>
      </c>
      <c r="K6" s="224" t="s">
        <v>289</v>
      </c>
      <c r="L6" s="224" t="s">
        <v>290</v>
      </c>
      <c r="M6" s="279"/>
    </row>
    <row r="7" spans="1:12" s="280" customFormat="1" ht="16.5" customHeight="1">
      <c r="A7" s="1192" t="s">
        <v>6</v>
      </c>
      <c r="B7" s="1192"/>
      <c r="C7" s="230">
        <v>1</v>
      </c>
      <c r="D7" s="230">
        <v>2</v>
      </c>
      <c r="E7" s="230">
        <v>3</v>
      </c>
      <c r="F7" s="230">
        <v>4</v>
      </c>
      <c r="G7" s="230">
        <v>5</v>
      </c>
      <c r="H7" s="230">
        <v>6</v>
      </c>
      <c r="I7" s="230">
        <v>7</v>
      </c>
      <c r="J7" s="230">
        <v>8</v>
      </c>
      <c r="K7" s="230">
        <v>9</v>
      </c>
      <c r="L7" s="230">
        <v>10</v>
      </c>
    </row>
    <row r="8" spans="1:12" s="280" customFormat="1" ht="16.5" customHeight="1">
      <c r="A8" s="1179" t="s">
        <v>430</v>
      </c>
      <c r="B8" s="1180"/>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177" t="s">
        <v>406</v>
      </c>
      <c r="B9" s="1178"/>
      <c r="C9" s="233">
        <v>9</v>
      </c>
      <c r="D9" s="233">
        <v>2</v>
      </c>
      <c r="E9" s="233">
        <v>2</v>
      </c>
      <c r="F9" s="233">
        <v>0</v>
      </c>
      <c r="G9" s="233">
        <v>5</v>
      </c>
      <c r="H9" s="233">
        <v>8</v>
      </c>
      <c r="I9" s="233">
        <v>0</v>
      </c>
      <c r="J9" s="233">
        <v>8</v>
      </c>
      <c r="K9" s="233">
        <v>1</v>
      </c>
      <c r="L9" s="233">
        <v>0</v>
      </c>
    </row>
    <row r="10" spans="1:12" s="280" customFormat="1" ht="16.5" customHeight="1">
      <c r="A10" s="1193" t="s">
        <v>275</v>
      </c>
      <c r="B10" s="1193"/>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291</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18</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375</v>
      </c>
      <c r="C13" s="281">
        <f aca="true" t="shared" si="3" ref="C13:C23">D13+E13+F13+G13</f>
        <v>0</v>
      </c>
      <c r="D13" s="240">
        <v>0</v>
      </c>
      <c r="E13" s="240">
        <v>0</v>
      </c>
      <c r="F13" s="240">
        <v>0</v>
      </c>
      <c r="G13" s="240">
        <v>0</v>
      </c>
      <c r="H13" s="240">
        <v>0</v>
      </c>
      <c r="I13" s="240">
        <v>0</v>
      </c>
      <c r="J13" s="282">
        <v>0</v>
      </c>
      <c r="K13" s="282">
        <v>0</v>
      </c>
      <c r="L13" s="282">
        <v>0</v>
      </c>
      <c r="AF13" s="280" t="s">
        <v>374</v>
      </c>
    </row>
    <row r="14" spans="1:37" s="280" customFormat="1" ht="16.5" customHeight="1">
      <c r="A14" s="283">
        <v>2</v>
      </c>
      <c r="B14" s="77" t="s">
        <v>407</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378</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379</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434</v>
      </c>
      <c r="C17" s="281">
        <f t="shared" si="3"/>
        <v>1</v>
      </c>
      <c r="D17" s="240">
        <v>0</v>
      </c>
      <c r="E17" s="240">
        <v>0</v>
      </c>
      <c r="F17" s="240">
        <v>0</v>
      </c>
      <c r="G17" s="240">
        <v>1</v>
      </c>
      <c r="H17" s="240">
        <v>1</v>
      </c>
      <c r="I17" s="240">
        <v>0</v>
      </c>
      <c r="J17" s="282">
        <v>1</v>
      </c>
      <c r="K17" s="282">
        <v>0</v>
      </c>
      <c r="L17" s="282">
        <v>0</v>
      </c>
      <c r="AF17" s="208" t="s">
        <v>377</v>
      </c>
    </row>
    <row r="18" spans="1:12" s="280" customFormat="1" ht="16.5" customHeight="1">
      <c r="A18" s="283">
        <v>6</v>
      </c>
      <c r="B18" s="77" t="s">
        <v>381</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386</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388</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389</v>
      </c>
      <c r="C21" s="281">
        <f t="shared" si="3"/>
        <v>0</v>
      </c>
      <c r="D21" s="240">
        <v>0</v>
      </c>
      <c r="E21" s="240">
        <v>0</v>
      </c>
      <c r="F21" s="240">
        <v>0</v>
      </c>
      <c r="G21" s="240">
        <v>0</v>
      </c>
      <c r="H21" s="240">
        <v>0</v>
      </c>
      <c r="I21" s="240">
        <v>0</v>
      </c>
      <c r="J21" s="282">
        <v>0</v>
      </c>
      <c r="K21" s="282">
        <v>0</v>
      </c>
      <c r="L21" s="282">
        <v>0</v>
      </c>
      <c r="AJ21" s="280" t="s">
        <v>382</v>
      </c>
      <c r="AK21" s="280" t="s">
        <v>383</v>
      </c>
      <c r="AL21" s="280" t="s">
        <v>384</v>
      </c>
      <c r="AM21" s="208" t="s">
        <v>385</v>
      </c>
    </row>
    <row r="22" spans="1:39" s="280" customFormat="1" ht="16.5" customHeight="1">
      <c r="A22" s="283">
        <v>10</v>
      </c>
      <c r="B22" s="77" t="s">
        <v>390</v>
      </c>
      <c r="C22" s="281">
        <f t="shared" si="3"/>
        <v>1</v>
      </c>
      <c r="D22" s="240">
        <v>0</v>
      </c>
      <c r="E22" s="240">
        <v>1</v>
      </c>
      <c r="F22" s="240">
        <v>0</v>
      </c>
      <c r="G22" s="240">
        <v>0</v>
      </c>
      <c r="H22" s="240">
        <v>1</v>
      </c>
      <c r="I22" s="240">
        <v>0</v>
      </c>
      <c r="J22" s="282">
        <v>1</v>
      </c>
      <c r="K22" s="282">
        <v>0</v>
      </c>
      <c r="L22" s="282">
        <v>0</v>
      </c>
      <c r="AM22" s="208" t="s">
        <v>387</v>
      </c>
    </row>
    <row r="23" spans="1:12" s="280" customFormat="1" ht="16.5" customHeight="1">
      <c r="A23" s="283">
        <v>11</v>
      </c>
      <c r="B23" s="77" t="s">
        <v>392</v>
      </c>
      <c r="C23" s="281">
        <f t="shared" si="3"/>
        <v>0</v>
      </c>
      <c r="D23" s="240">
        <v>0</v>
      </c>
      <c r="E23" s="240">
        <v>0</v>
      </c>
      <c r="F23" s="240">
        <v>0</v>
      </c>
      <c r="G23" s="240">
        <v>0</v>
      </c>
      <c r="H23" s="240">
        <v>0</v>
      </c>
      <c r="I23" s="240">
        <v>0</v>
      </c>
      <c r="J23" s="282">
        <v>0</v>
      </c>
      <c r="K23" s="282">
        <v>0</v>
      </c>
      <c r="L23" s="282">
        <v>0</v>
      </c>
    </row>
    <row r="24" ht="9" customHeight="1">
      <c r="AJ24" s="242" t="s">
        <v>382</v>
      </c>
    </row>
    <row r="25" spans="1:36" ht="15.75" customHeight="1">
      <c r="A25" s="1126" t="s">
        <v>435</v>
      </c>
      <c r="B25" s="1126"/>
      <c r="C25" s="1126"/>
      <c r="D25" s="1126"/>
      <c r="E25" s="191"/>
      <c r="F25" s="1131" t="s">
        <v>393</v>
      </c>
      <c r="G25" s="1131"/>
      <c r="H25" s="1131"/>
      <c r="I25" s="1131"/>
      <c r="J25" s="1131"/>
      <c r="K25" s="1131"/>
      <c r="L25" s="1131"/>
      <c r="AJ25" s="199" t="s">
        <v>391</v>
      </c>
    </row>
    <row r="26" spans="1:44" ht="15" customHeight="1">
      <c r="A26" s="1116" t="s">
        <v>248</v>
      </c>
      <c r="B26" s="1116"/>
      <c r="C26" s="1116"/>
      <c r="D26" s="1116"/>
      <c r="E26" s="192"/>
      <c r="F26" s="1119" t="s">
        <v>249</v>
      </c>
      <c r="G26" s="1119"/>
      <c r="H26" s="1119"/>
      <c r="I26" s="1119"/>
      <c r="J26" s="1119"/>
      <c r="K26" s="1119"/>
      <c r="L26" s="1119"/>
      <c r="AR26" s="199"/>
    </row>
    <row r="27" spans="1:12" s="179" customFormat="1" ht="18.75">
      <c r="A27" s="1113"/>
      <c r="B27" s="1113"/>
      <c r="C27" s="1113"/>
      <c r="D27" s="1113"/>
      <c r="E27" s="191"/>
      <c r="F27" s="1114"/>
      <c r="G27" s="1114"/>
      <c r="H27" s="1114"/>
      <c r="I27" s="1114"/>
      <c r="J27" s="1114"/>
      <c r="K27" s="1114"/>
      <c r="L27" s="1114"/>
    </row>
    <row r="28" spans="1:35" ht="18">
      <c r="A28" s="196"/>
      <c r="B28" s="196"/>
      <c r="C28" s="191"/>
      <c r="D28" s="191"/>
      <c r="E28" s="191"/>
      <c r="F28" s="191"/>
      <c r="G28" s="191"/>
      <c r="H28" s="191"/>
      <c r="I28" s="191"/>
      <c r="J28" s="191"/>
      <c r="K28" s="191"/>
      <c r="L28" s="191"/>
      <c r="AG28" s="242" t="s">
        <v>394</v>
      </c>
      <c r="AI28" s="199">
        <f>82/88</f>
        <v>0.9318181818181818</v>
      </c>
    </row>
    <row r="29" spans="1:12" ht="18">
      <c r="A29" s="196"/>
      <c r="B29" s="1175" t="s">
        <v>397</v>
      </c>
      <c r="C29" s="1175"/>
      <c r="D29" s="191"/>
      <c r="E29" s="191"/>
      <c r="F29" s="191"/>
      <c r="G29" s="191"/>
      <c r="H29" s="1175" t="s">
        <v>397</v>
      </c>
      <c r="I29" s="1175"/>
      <c r="J29" s="1175"/>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292</v>
      </c>
      <c r="B32" s="194"/>
      <c r="C32" s="195"/>
      <c r="D32" s="195"/>
      <c r="E32" s="195"/>
      <c r="F32" s="195"/>
      <c r="G32" s="195"/>
      <c r="H32" s="195"/>
      <c r="I32" s="195"/>
      <c r="J32" s="195"/>
      <c r="K32" s="195"/>
      <c r="L32" s="195"/>
    </row>
    <row r="33" spans="1:12" s="220" customFormat="1" ht="18.75" hidden="1">
      <c r="A33" s="246"/>
      <c r="B33" s="288" t="s">
        <v>293</v>
      </c>
      <c r="C33" s="288"/>
      <c r="D33" s="288"/>
      <c r="E33" s="245"/>
      <c r="F33" s="245"/>
      <c r="G33" s="245"/>
      <c r="H33" s="245"/>
      <c r="I33" s="245"/>
      <c r="J33" s="245"/>
      <c r="K33" s="245"/>
      <c r="L33" s="245"/>
    </row>
    <row r="34" spans="1:12" s="220" customFormat="1" ht="18.75" hidden="1">
      <c r="A34" s="246"/>
      <c r="B34" s="288" t="s">
        <v>294</v>
      </c>
      <c r="C34" s="288"/>
      <c r="D34" s="288"/>
      <c r="E34" s="288"/>
      <c r="F34" s="245"/>
      <c r="G34" s="245"/>
      <c r="H34" s="245"/>
      <c r="I34" s="245"/>
      <c r="J34" s="245"/>
      <c r="K34" s="245"/>
      <c r="L34" s="245"/>
    </row>
    <row r="35" spans="1:12" s="220" customFormat="1" ht="18.75" hidden="1">
      <c r="A35" s="246"/>
      <c r="B35" s="245" t="s">
        <v>295</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1015" t="s">
        <v>350</v>
      </c>
      <c r="B37" s="1015"/>
      <c r="C37" s="1015"/>
      <c r="D37" s="1015"/>
      <c r="E37" s="219"/>
      <c r="F37" s="1016" t="s">
        <v>351</v>
      </c>
      <c r="G37" s="1016"/>
      <c r="H37" s="1016"/>
      <c r="I37" s="1016"/>
      <c r="J37" s="1016"/>
      <c r="K37" s="1016"/>
      <c r="L37" s="1016"/>
      <c r="M37" s="136"/>
    </row>
    <row r="38" spans="1:12" ht="18">
      <c r="A38" s="196"/>
      <c r="B38" s="196"/>
      <c r="C38" s="191"/>
      <c r="D38" s="191"/>
      <c r="E38" s="191"/>
      <c r="F38" s="191"/>
      <c r="G38" s="191"/>
      <c r="H38" s="191"/>
      <c r="I38" s="191"/>
      <c r="J38" s="191"/>
      <c r="K38" s="191"/>
      <c r="L38" s="191"/>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194" t="s">
        <v>296</v>
      </c>
      <c r="B1" s="1194"/>
      <c r="C1" s="1194"/>
      <c r="D1" s="1184" t="s">
        <v>473</v>
      </c>
      <c r="E1" s="1184"/>
      <c r="F1" s="1184"/>
      <c r="G1" s="1184"/>
      <c r="H1" s="1184"/>
      <c r="I1" s="179"/>
      <c r="J1" s="180" t="s">
        <v>467</v>
      </c>
      <c r="K1" s="289"/>
      <c r="L1" s="289"/>
    </row>
    <row r="2" spans="1:12" ht="15.75" customHeight="1">
      <c r="A2" s="1198" t="s">
        <v>408</v>
      </c>
      <c r="B2" s="1198"/>
      <c r="C2" s="1198"/>
      <c r="D2" s="1184"/>
      <c r="E2" s="1184"/>
      <c r="F2" s="1184"/>
      <c r="G2" s="1184"/>
      <c r="H2" s="1184"/>
      <c r="I2" s="179"/>
      <c r="J2" s="290" t="s">
        <v>409</v>
      </c>
      <c r="K2" s="290"/>
      <c r="L2" s="290"/>
    </row>
    <row r="3" spans="1:12" ht="18.75" customHeight="1">
      <c r="A3" s="1104" t="s">
        <v>360</v>
      </c>
      <c r="B3" s="1104"/>
      <c r="C3" s="1104"/>
      <c r="D3" s="176"/>
      <c r="E3" s="176"/>
      <c r="F3" s="176"/>
      <c r="G3" s="176"/>
      <c r="H3" s="176"/>
      <c r="I3" s="179"/>
      <c r="J3" s="183" t="s">
        <v>466</v>
      </c>
      <c r="K3" s="183"/>
      <c r="L3" s="183"/>
    </row>
    <row r="4" spans="1:12" ht="15.75" customHeight="1">
      <c r="A4" s="1195" t="s">
        <v>436</v>
      </c>
      <c r="B4" s="1195"/>
      <c r="C4" s="1195"/>
      <c r="D4" s="1210"/>
      <c r="E4" s="1210"/>
      <c r="F4" s="1210"/>
      <c r="G4" s="1210"/>
      <c r="H4" s="1210"/>
      <c r="I4" s="179"/>
      <c r="J4" s="291" t="s">
        <v>401</v>
      </c>
      <c r="K4" s="291"/>
      <c r="L4" s="291"/>
    </row>
    <row r="5" spans="1:12" ht="15.75">
      <c r="A5" s="1199"/>
      <c r="B5" s="1199"/>
      <c r="C5" s="175"/>
      <c r="D5" s="179"/>
      <c r="E5" s="179"/>
      <c r="F5" s="179"/>
      <c r="G5" s="179"/>
      <c r="H5" s="292"/>
      <c r="I5" s="1211" t="s">
        <v>437</v>
      </c>
      <c r="J5" s="1211"/>
      <c r="K5" s="1211"/>
      <c r="L5" s="1211"/>
    </row>
    <row r="6" spans="1:12" ht="18.75" customHeight="1">
      <c r="A6" s="1096" t="s">
        <v>71</v>
      </c>
      <c r="B6" s="1097"/>
      <c r="C6" s="1206" t="s">
        <v>297</v>
      </c>
      <c r="D6" s="1117" t="s">
        <v>298</v>
      </c>
      <c r="E6" s="1209"/>
      <c r="F6" s="1118"/>
      <c r="G6" s="1117" t="s">
        <v>299</v>
      </c>
      <c r="H6" s="1209"/>
      <c r="I6" s="1209"/>
      <c r="J6" s="1209"/>
      <c r="K6" s="1209"/>
      <c r="L6" s="1118"/>
    </row>
    <row r="7" spans="1:12" ht="15.75" customHeight="1">
      <c r="A7" s="1098"/>
      <c r="B7" s="1099"/>
      <c r="C7" s="1208"/>
      <c r="D7" s="1117" t="s">
        <v>7</v>
      </c>
      <c r="E7" s="1209"/>
      <c r="F7" s="1118"/>
      <c r="G7" s="1206" t="s">
        <v>36</v>
      </c>
      <c r="H7" s="1117" t="s">
        <v>7</v>
      </c>
      <c r="I7" s="1209"/>
      <c r="J7" s="1209"/>
      <c r="K7" s="1209"/>
      <c r="L7" s="1118"/>
    </row>
    <row r="8" spans="1:12" ht="14.25" customHeight="1">
      <c r="A8" s="1098"/>
      <c r="B8" s="1099"/>
      <c r="C8" s="1208"/>
      <c r="D8" s="1206" t="s">
        <v>300</v>
      </c>
      <c r="E8" s="1206" t="s">
        <v>301</v>
      </c>
      <c r="F8" s="1206" t="s">
        <v>302</v>
      </c>
      <c r="G8" s="1208"/>
      <c r="H8" s="1206" t="s">
        <v>303</v>
      </c>
      <c r="I8" s="1206" t="s">
        <v>304</v>
      </c>
      <c r="J8" s="1206" t="s">
        <v>305</v>
      </c>
      <c r="K8" s="1206" t="s">
        <v>306</v>
      </c>
      <c r="L8" s="1206" t="s">
        <v>307</v>
      </c>
    </row>
    <row r="9" spans="1:12" ht="77.25" customHeight="1">
      <c r="A9" s="1100"/>
      <c r="B9" s="1101"/>
      <c r="C9" s="1207"/>
      <c r="D9" s="1207"/>
      <c r="E9" s="1207"/>
      <c r="F9" s="1207"/>
      <c r="G9" s="1207"/>
      <c r="H9" s="1207"/>
      <c r="I9" s="1207"/>
      <c r="J9" s="1207"/>
      <c r="K9" s="1207"/>
      <c r="L9" s="1207"/>
    </row>
    <row r="10" spans="1:12" s="280" customFormat="1" ht="16.5" customHeight="1">
      <c r="A10" s="1200" t="s">
        <v>6</v>
      </c>
      <c r="B10" s="1201"/>
      <c r="C10" s="229">
        <v>1</v>
      </c>
      <c r="D10" s="229">
        <v>2</v>
      </c>
      <c r="E10" s="229">
        <v>3</v>
      </c>
      <c r="F10" s="229">
        <v>4</v>
      </c>
      <c r="G10" s="229">
        <v>5</v>
      </c>
      <c r="H10" s="229">
        <v>6</v>
      </c>
      <c r="I10" s="229">
        <v>7</v>
      </c>
      <c r="J10" s="229">
        <v>8</v>
      </c>
      <c r="K10" s="230" t="s">
        <v>77</v>
      </c>
      <c r="L10" s="230" t="s">
        <v>100</v>
      </c>
    </row>
    <row r="11" spans="1:12" s="280" customFormat="1" ht="16.5" customHeight="1">
      <c r="A11" s="1204" t="s">
        <v>405</v>
      </c>
      <c r="B11" s="1205"/>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202" t="s">
        <v>406</v>
      </c>
      <c r="B12" s="1203"/>
      <c r="C12" s="233">
        <v>12</v>
      </c>
      <c r="D12" s="233">
        <v>0</v>
      </c>
      <c r="E12" s="233">
        <v>1</v>
      </c>
      <c r="F12" s="233">
        <v>11</v>
      </c>
      <c r="G12" s="233">
        <v>10</v>
      </c>
      <c r="H12" s="233">
        <v>0</v>
      </c>
      <c r="I12" s="233">
        <v>0</v>
      </c>
      <c r="J12" s="233">
        <v>0</v>
      </c>
      <c r="K12" s="233">
        <v>6</v>
      </c>
      <c r="L12" s="233">
        <v>4</v>
      </c>
    </row>
    <row r="13" spans="1:32" s="280" customFormat="1" ht="16.5" customHeight="1">
      <c r="A13" s="1196" t="s">
        <v>36</v>
      </c>
      <c r="B13" s="1197"/>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374</v>
      </c>
    </row>
    <row r="14" spans="1:37" s="280" customFormat="1" ht="16.5" customHeight="1">
      <c r="A14" s="283" t="s">
        <v>0</v>
      </c>
      <c r="B14" s="207" t="s">
        <v>226</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18</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375</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376</v>
      </c>
      <c r="C17" s="235">
        <f t="shared" si="2"/>
        <v>1</v>
      </c>
      <c r="D17" s="240">
        <v>0</v>
      </c>
      <c r="E17" s="240">
        <v>0</v>
      </c>
      <c r="F17" s="240">
        <v>1</v>
      </c>
      <c r="G17" s="235">
        <f t="shared" si="1"/>
        <v>1</v>
      </c>
      <c r="H17" s="240">
        <v>0</v>
      </c>
      <c r="I17" s="240">
        <v>0</v>
      </c>
      <c r="J17" s="282">
        <v>0</v>
      </c>
      <c r="K17" s="282">
        <v>0</v>
      </c>
      <c r="L17" s="282">
        <v>1</v>
      </c>
      <c r="M17" s="294"/>
      <c r="AF17" s="208" t="s">
        <v>377</v>
      </c>
    </row>
    <row r="18" spans="1:14" s="280" customFormat="1" ht="15.75" customHeight="1">
      <c r="A18" s="209">
        <v>3</v>
      </c>
      <c r="B18" s="77" t="s">
        <v>378</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379</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380</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381</v>
      </c>
      <c r="C21" s="235">
        <f t="shared" si="2"/>
        <v>0</v>
      </c>
      <c r="D21" s="240">
        <v>0</v>
      </c>
      <c r="E21" s="240">
        <v>0</v>
      </c>
      <c r="F21" s="240">
        <v>0</v>
      </c>
      <c r="G21" s="235">
        <f t="shared" si="1"/>
        <v>0</v>
      </c>
      <c r="H21" s="240">
        <v>0</v>
      </c>
      <c r="I21" s="240">
        <v>0</v>
      </c>
      <c r="J21" s="282">
        <v>0</v>
      </c>
      <c r="K21" s="282">
        <v>0</v>
      </c>
      <c r="L21" s="282">
        <v>0</v>
      </c>
      <c r="M21" s="294"/>
      <c r="AJ21" s="280" t="s">
        <v>382</v>
      </c>
      <c r="AK21" s="280" t="s">
        <v>383</v>
      </c>
      <c r="AL21" s="280" t="s">
        <v>384</v>
      </c>
      <c r="AM21" s="208" t="s">
        <v>385</v>
      </c>
    </row>
    <row r="22" spans="1:39" s="280" customFormat="1" ht="15.75" customHeight="1">
      <c r="A22" s="209">
        <v>7</v>
      </c>
      <c r="B22" s="77" t="s">
        <v>386</v>
      </c>
      <c r="C22" s="235">
        <f t="shared" si="2"/>
        <v>0</v>
      </c>
      <c r="D22" s="240">
        <v>0</v>
      </c>
      <c r="E22" s="240">
        <v>0</v>
      </c>
      <c r="F22" s="240">
        <v>0</v>
      </c>
      <c r="G22" s="235">
        <f t="shared" si="1"/>
        <v>0</v>
      </c>
      <c r="H22" s="240">
        <v>0</v>
      </c>
      <c r="I22" s="240">
        <v>0</v>
      </c>
      <c r="J22" s="282">
        <v>0</v>
      </c>
      <c r="K22" s="282">
        <v>0</v>
      </c>
      <c r="L22" s="282">
        <v>0</v>
      </c>
      <c r="M22" s="294"/>
      <c r="N22" s="187"/>
      <c r="AM22" s="208" t="s">
        <v>387</v>
      </c>
    </row>
    <row r="23" spans="1:13" s="280" customFormat="1" ht="15.75" customHeight="1">
      <c r="A23" s="209">
        <v>8</v>
      </c>
      <c r="B23" s="77" t="s">
        <v>388</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389</v>
      </c>
      <c r="C24" s="235">
        <f t="shared" si="2"/>
        <v>0</v>
      </c>
      <c r="D24" s="240">
        <v>0</v>
      </c>
      <c r="E24" s="240">
        <v>0</v>
      </c>
      <c r="F24" s="240">
        <v>0</v>
      </c>
      <c r="G24" s="235">
        <f t="shared" si="1"/>
        <v>0</v>
      </c>
      <c r="H24" s="240">
        <v>0</v>
      </c>
      <c r="I24" s="240">
        <v>0</v>
      </c>
      <c r="J24" s="282">
        <v>0</v>
      </c>
      <c r="K24" s="282">
        <v>0</v>
      </c>
      <c r="L24" s="282">
        <v>0</v>
      </c>
      <c r="M24" s="294"/>
      <c r="AJ24" s="280" t="s">
        <v>382</v>
      </c>
    </row>
    <row r="25" spans="1:36" s="280" customFormat="1" ht="15.75" customHeight="1">
      <c r="A25" s="209">
        <v>10</v>
      </c>
      <c r="B25" s="77" t="s">
        <v>390</v>
      </c>
      <c r="C25" s="235">
        <f t="shared" si="2"/>
        <v>1</v>
      </c>
      <c r="D25" s="240">
        <v>0</v>
      </c>
      <c r="E25" s="240">
        <v>0</v>
      </c>
      <c r="F25" s="240">
        <v>1</v>
      </c>
      <c r="G25" s="235">
        <f t="shared" si="1"/>
        <v>1</v>
      </c>
      <c r="H25" s="240">
        <v>0</v>
      </c>
      <c r="I25" s="240">
        <v>0</v>
      </c>
      <c r="J25" s="282">
        <v>0</v>
      </c>
      <c r="K25" s="282">
        <v>0</v>
      </c>
      <c r="L25" s="282">
        <v>1</v>
      </c>
      <c r="M25" s="294"/>
      <c r="AJ25" s="208" t="s">
        <v>391</v>
      </c>
    </row>
    <row r="26" spans="1:44" s="280" customFormat="1" ht="15.75" customHeight="1">
      <c r="A26" s="209">
        <v>11</v>
      </c>
      <c r="B26" s="77" t="s">
        <v>392</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126" t="s">
        <v>393</v>
      </c>
      <c r="B28" s="1126"/>
      <c r="C28" s="1126"/>
      <c r="D28" s="1126"/>
      <c r="E28" s="1126"/>
      <c r="F28" s="191"/>
      <c r="G28" s="190"/>
      <c r="H28" s="303" t="s">
        <v>438</v>
      </c>
      <c r="I28" s="304"/>
      <c r="J28" s="304"/>
      <c r="K28" s="304"/>
      <c r="L28" s="304"/>
      <c r="AG28" s="242" t="s">
        <v>394</v>
      </c>
      <c r="AI28" s="199">
        <f>82/88</f>
        <v>0.9318181818181818</v>
      </c>
    </row>
    <row r="29" spans="1:12" ht="15" customHeight="1">
      <c r="A29" s="1116" t="s">
        <v>4</v>
      </c>
      <c r="B29" s="1116"/>
      <c r="C29" s="1116"/>
      <c r="D29" s="1116"/>
      <c r="E29" s="1116"/>
      <c r="F29" s="191"/>
      <c r="G29" s="192"/>
      <c r="H29" s="1119" t="s">
        <v>249</v>
      </c>
      <c r="I29" s="1119"/>
      <c r="J29" s="1119"/>
      <c r="K29" s="1119"/>
      <c r="L29" s="1119"/>
    </row>
    <row r="30" spans="1:14" s="179" customFormat="1" ht="18.75">
      <c r="A30" s="1113"/>
      <c r="B30" s="1113"/>
      <c r="C30" s="1113"/>
      <c r="D30" s="1113"/>
      <c r="E30" s="1113"/>
      <c r="F30" s="305"/>
      <c r="G30" s="191"/>
      <c r="H30" s="1114"/>
      <c r="I30" s="1114"/>
      <c r="J30" s="1114"/>
      <c r="K30" s="1114"/>
      <c r="L30" s="1114"/>
      <c r="M30" s="306"/>
      <c r="N30" s="306"/>
    </row>
    <row r="31" spans="1:12" ht="18">
      <c r="A31" s="191"/>
      <c r="B31" s="191"/>
      <c r="C31" s="191"/>
      <c r="D31" s="191"/>
      <c r="E31" s="191"/>
      <c r="F31" s="191"/>
      <c r="G31" s="191"/>
      <c r="H31" s="191"/>
      <c r="I31" s="191"/>
      <c r="J31" s="191"/>
      <c r="K31" s="191"/>
      <c r="L31" s="307"/>
    </row>
    <row r="32" spans="1:12" ht="18">
      <c r="A32" s="191"/>
      <c r="B32" s="1175" t="s">
        <v>397</v>
      </c>
      <c r="C32" s="1175"/>
      <c r="D32" s="1175"/>
      <c r="E32" s="1175"/>
      <c r="F32" s="191"/>
      <c r="G32" s="191"/>
      <c r="H32" s="191"/>
      <c r="I32" s="1175" t="s">
        <v>397</v>
      </c>
      <c r="J32" s="1175"/>
      <c r="K32" s="1175"/>
      <c r="L32" s="307"/>
    </row>
    <row r="33" spans="1:12" ht="10.5" customHeight="1">
      <c r="A33" s="191"/>
      <c r="B33" s="191"/>
      <c r="C33" s="308" t="s">
        <v>396</v>
      </c>
      <c r="D33" s="308"/>
      <c r="E33" s="308"/>
      <c r="F33" s="308"/>
      <c r="G33" s="308"/>
      <c r="H33" s="308"/>
      <c r="I33" s="308"/>
      <c r="J33" s="309" t="s">
        <v>396</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46</v>
      </c>
      <c r="B39" s="191"/>
      <c r="C39" s="191"/>
      <c r="D39" s="191"/>
      <c r="E39" s="191"/>
      <c r="F39" s="191"/>
      <c r="G39" s="191"/>
      <c r="H39" s="310"/>
      <c r="I39" s="310"/>
      <c r="J39" s="310"/>
      <c r="K39" s="310"/>
      <c r="L39" s="310"/>
    </row>
    <row r="40" spans="1:16" ht="18" customHeight="1" hidden="1">
      <c r="A40" s="312"/>
      <c r="B40" s="1212" t="s">
        <v>308</v>
      </c>
      <c r="C40" s="1212"/>
      <c r="D40" s="1212"/>
      <c r="E40" s="1212"/>
      <c r="F40" s="1212"/>
      <c r="G40" s="312"/>
      <c r="H40" s="310"/>
      <c r="I40" s="310"/>
      <c r="J40" s="310"/>
      <c r="K40" s="310"/>
      <c r="L40" s="310"/>
      <c r="M40" s="274"/>
      <c r="N40" s="274"/>
      <c r="O40" s="274"/>
      <c r="P40" s="274"/>
    </row>
    <row r="41" spans="1:12" ht="12.75" customHeight="1" hidden="1">
      <c r="A41" s="191"/>
      <c r="B41" s="288" t="s">
        <v>309</v>
      </c>
      <c r="C41" s="313"/>
      <c r="D41" s="313"/>
      <c r="E41" s="313"/>
      <c r="F41" s="313"/>
      <c r="G41" s="191"/>
      <c r="H41" s="310"/>
      <c r="I41" s="310"/>
      <c r="J41" s="310"/>
      <c r="K41" s="310"/>
      <c r="L41" s="310"/>
    </row>
    <row r="42" spans="1:12" ht="12.75" customHeight="1" hidden="1">
      <c r="A42" s="191"/>
      <c r="B42" s="245" t="s">
        <v>310</v>
      </c>
      <c r="C42" s="313"/>
      <c r="D42" s="313"/>
      <c r="E42" s="313"/>
      <c r="F42" s="313"/>
      <c r="G42" s="191"/>
      <c r="H42" s="310"/>
      <c r="I42" s="310"/>
      <c r="J42" s="310"/>
      <c r="K42" s="310"/>
      <c r="L42" s="310"/>
    </row>
    <row r="43" spans="1:12" ht="18.75">
      <c r="A43" s="1015" t="s">
        <v>439</v>
      </c>
      <c r="B43" s="1015"/>
      <c r="C43" s="1015"/>
      <c r="D43" s="1015"/>
      <c r="E43" s="1015"/>
      <c r="F43" s="191"/>
      <c r="G43" s="310"/>
      <c r="H43" s="1016" t="s">
        <v>351</v>
      </c>
      <c r="I43" s="1016"/>
      <c r="J43" s="1016"/>
      <c r="K43" s="1016"/>
      <c r="L43" s="1016"/>
    </row>
    <row r="44" spans="1:12" ht="12.75" customHeight="1">
      <c r="A44" s="191"/>
      <c r="B44" s="191"/>
      <c r="C44" s="191"/>
      <c r="D44" s="191"/>
      <c r="E44" s="191"/>
      <c r="F44" s="191"/>
      <c r="G44" s="191"/>
      <c r="H44" s="310"/>
      <c r="I44" s="310"/>
      <c r="J44" s="310"/>
      <c r="K44" s="310"/>
      <c r="L44" s="310"/>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107" t="s">
        <v>311</v>
      </c>
      <c r="B1" s="1107"/>
      <c r="C1" s="1107"/>
      <c r="D1" s="1107"/>
      <c r="E1" s="315"/>
      <c r="F1" s="1102" t="s">
        <v>474</v>
      </c>
      <c r="G1" s="1102"/>
      <c r="H1" s="1102"/>
      <c r="I1" s="1102"/>
      <c r="J1" s="1102"/>
      <c r="K1" s="1102"/>
      <c r="L1" s="1102"/>
      <c r="M1" s="1102"/>
      <c r="N1" s="1102"/>
      <c r="O1" s="1102"/>
      <c r="P1" s="316" t="s">
        <v>398</v>
      </c>
      <c r="Q1" s="317"/>
      <c r="R1" s="317"/>
      <c r="S1" s="317"/>
      <c r="T1" s="317"/>
    </row>
    <row r="2" spans="1:20" s="186" customFormat="1" ht="20.25" customHeight="1">
      <c r="A2" s="1230" t="s">
        <v>408</v>
      </c>
      <c r="B2" s="1230"/>
      <c r="C2" s="1230"/>
      <c r="D2" s="1230"/>
      <c r="E2" s="315"/>
      <c r="F2" s="1102"/>
      <c r="G2" s="1102"/>
      <c r="H2" s="1102"/>
      <c r="I2" s="1102"/>
      <c r="J2" s="1102"/>
      <c r="K2" s="1102"/>
      <c r="L2" s="1102"/>
      <c r="M2" s="1102"/>
      <c r="N2" s="1102"/>
      <c r="O2" s="1102"/>
      <c r="P2" s="317" t="s">
        <v>440</v>
      </c>
      <c r="Q2" s="317"/>
      <c r="R2" s="317"/>
      <c r="S2" s="317"/>
      <c r="T2" s="317"/>
    </row>
    <row r="3" spans="1:20" s="186" customFormat="1" ht="15" customHeight="1">
      <c r="A3" s="1230" t="s">
        <v>360</v>
      </c>
      <c r="B3" s="1230"/>
      <c r="C3" s="1230"/>
      <c r="D3" s="1230"/>
      <c r="E3" s="315"/>
      <c r="F3" s="1102"/>
      <c r="G3" s="1102"/>
      <c r="H3" s="1102"/>
      <c r="I3" s="1102"/>
      <c r="J3" s="1102"/>
      <c r="K3" s="1102"/>
      <c r="L3" s="1102"/>
      <c r="M3" s="1102"/>
      <c r="N3" s="1102"/>
      <c r="O3" s="1102"/>
      <c r="P3" s="316" t="s">
        <v>466</v>
      </c>
      <c r="Q3" s="316"/>
      <c r="R3" s="316"/>
      <c r="S3" s="318"/>
      <c r="T3" s="318"/>
    </row>
    <row r="4" spans="1:20" s="186" customFormat="1" ht="15.75" customHeight="1">
      <c r="A4" s="1223" t="s">
        <v>441</v>
      </c>
      <c r="B4" s="1223"/>
      <c r="C4" s="1223"/>
      <c r="D4" s="1223"/>
      <c r="E4" s="316"/>
      <c r="F4" s="1102"/>
      <c r="G4" s="1102"/>
      <c r="H4" s="1102"/>
      <c r="I4" s="1102"/>
      <c r="J4" s="1102"/>
      <c r="K4" s="1102"/>
      <c r="L4" s="1102"/>
      <c r="M4" s="1102"/>
      <c r="N4" s="1102"/>
      <c r="O4" s="1102"/>
      <c r="P4" s="317" t="s">
        <v>410</v>
      </c>
      <c r="Q4" s="316"/>
      <c r="R4" s="316"/>
      <c r="S4" s="318"/>
      <c r="T4" s="318"/>
    </row>
    <row r="5" spans="1:18" s="186" customFormat="1" ht="24" customHeight="1">
      <c r="A5" s="319"/>
      <c r="B5" s="319"/>
      <c r="C5" s="319"/>
      <c r="F5" s="1233"/>
      <c r="G5" s="1233"/>
      <c r="H5" s="1233"/>
      <c r="I5" s="1233"/>
      <c r="J5" s="1233"/>
      <c r="K5" s="1233"/>
      <c r="L5" s="1233"/>
      <c r="M5" s="1233"/>
      <c r="N5" s="1233"/>
      <c r="O5" s="1233"/>
      <c r="P5" s="320" t="s">
        <v>442</v>
      </c>
      <c r="Q5" s="321"/>
      <c r="R5" s="321"/>
    </row>
    <row r="6" spans="1:20" s="322" customFormat="1" ht="21.75" customHeight="1">
      <c r="A6" s="1219" t="s">
        <v>71</v>
      </c>
      <c r="B6" s="1220"/>
      <c r="C6" s="1110" t="s">
        <v>37</v>
      </c>
      <c r="D6" s="1094"/>
      <c r="E6" s="1110" t="s">
        <v>7</v>
      </c>
      <c r="F6" s="1218"/>
      <c r="G6" s="1218"/>
      <c r="H6" s="1218"/>
      <c r="I6" s="1218"/>
      <c r="J6" s="1218"/>
      <c r="K6" s="1218"/>
      <c r="L6" s="1218"/>
      <c r="M6" s="1218"/>
      <c r="N6" s="1218"/>
      <c r="O6" s="1218"/>
      <c r="P6" s="1218"/>
      <c r="Q6" s="1218"/>
      <c r="R6" s="1218"/>
      <c r="S6" s="1218"/>
      <c r="T6" s="1094"/>
    </row>
    <row r="7" spans="1:21" s="322" customFormat="1" ht="22.5" customHeight="1">
      <c r="A7" s="1221"/>
      <c r="B7" s="1222"/>
      <c r="C7" s="1127" t="s">
        <v>443</v>
      </c>
      <c r="D7" s="1127" t="s">
        <v>444</v>
      </c>
      <c r="E7" s="1110" t="s">
        <v>312</v>
      </c>
      <c r="F7" s="1231"/>
      <c r="G7" s="1231"/>
      <c r="H7" s="1231"/>
      <c r="I7" s="1231"/>
      <c r="J7" s="1231"/>
      <c r="K7" s="1231"/>
      <c r="L7" s="1232"/>
      <c r="M7" s="1110" t="s">
        <v>445</v>
      </c>
      <c r="N7" s="1218"/>
      <c r="O7" s="1218"/>
      <c r="P7" s="1218"/>
      <c r="Q7" s="1218"/>
      <c r="R7" s="1218"/>
      <c r="S7" s="1218"/>
      <c r="T7" s="1094"/>
      <c r="U7" s="323"/>
    </row>
    <row r="8" spans="1:20" s="322" customFormat="1" ht="42.75" customHeight="1">
      <c r="A8" s="1221"/>
      <c r="B8" s="1222"/>
      <c r="C8" s="1128"/>
      <c r="D8" s="1128"/>
      <c r="E8" s="1091" t="s">
        <v>446</v>
      </c>
      <c r="F8" s="1091"/>
      <c r="G8" s="1110" t="s">
        <v>447</v>
      </c>
      <c r="H8" s="1218"/>
      <c r="I8" s="1218"/>
      <c r="J8" s="1218"/>
      <c r="K8" s="1218"/>
      <c r="L8" s="1094"/>
      <c r="M8" s="1091" t="s">
        <v>448</v>
      </c>
      <c r="N8" s="1091"/>
      <c r="O8" s="1110" t="s">
        <v>447</v>
      </c>
      <c r="P8" s="1218"/>
      <c r="Q8" s="1218"/>
      <c r="R8" s="1218"/>
      <c r="S8" s="1218"/>
      <c r="T8" s="1094"/>
    </row>
    <row r="9" spans="1:20" s="322" customFormat="1" ht="35.25" customHeight="1">
      <c r="A9" s="1221"/>
      <c r="B9" s="1222"/>
      <c r="C9" s="1128"/>
      <c r="D9" s="1128"/>
      <c r="E9" s="1127" t="s">
        <v>313</v>
      </c>
      <c r="F9" s="1127" t="s">
        <v>314</v>
      </c>
      <c r="G9" s="1214" t="s">
        <v>315</v>
      </c>
      <c r="H9" s="1215"/>
      <c r="I9" s="1214" t="s">
        <v>316</v>
      </c>
      <c r="J9" s="1215"/>
      <c r="K9" s="1214" t="s">
        <v>317</v>
      </c>
      <c r="L9" s="1215"/>
      <c r="M9" s="1127" t="s">
        <v>318</v>
      </c>
      <c r="N9" s="1127" t="s">
        <v>314</v>
      </c>
      <c r="O9" s="1214" t="s">
        <v>315</v>
      </c>
      <c r="P9" s="1215"/>
      <c r="Q9" s="1214" t="s">
        <v>319</v>
      </c>
      <c r="R9" s="1215"/>
      <c r="S9" s="1214" t="s">
        <v>320</v>
      </c>
      <c r="T9" s="1215"/>
    </row>
    <row r="10" spans="1:20" s="322" customFormat="1" ht="25.5" customHeight="1">
      <c r="A10" s="1214"/>
      <c r="B10" s="1215"/>
      <c r="C10" s="1129"/>
      <c r="D10" s="1129"/>
      <c r="E10" s="1129"/>
      <c r="F10" s="1129"/>
      <c r="G10" s="224" t="s">
        <v>318</v>
      </c>
      <c r="H10" s="224" t="s">
        <v>314</v>
      </c>
      <c r="I10" s="228" t="s">
        <v>318</v>
      </c>
      <c r="J10" s="224" t="s">
        <v>314</v>
      </c>
      <c r="K10" s="228" t="s">
        <v>318</v>
      </c>
      <c r="L10" s="224" t="s">
        <v>314</v>
      </c>
      <c r="M10" s="1129"/>
      <c r="N10" s="1129"/>
      <c r="O10" s="224" t="s">
        <v>318</v>
      </c>
      <c r="P10" s="224" t="s">
        <v>314</v>
      </c>
      <c r="Q10" s="228" t="s">
        <v>318</v>
      </c>
      <c r="R10" s="224" t="s">
        <v>314</v>
      </c>
      <c r="S10" s="228" t="s">
        <v>318</v>
      </c>
      <c r="T10" s="224" t="s">
        <v>314</v>
      </c>
    </row>
    <row r="11" spans="1:32" s="231" customFormat="1" ht="12.75">
      <c r="A11" s="1228" t="s">
        <v>6</v>
      </c>
      <c r="B11" s="1229"/>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374</v>
      </c>
    </row>
    <row r="12" spans="1:20" s="231" customFormat="1" ht="20.25" customHeight="1">
      <c r="A12" s="1216" t="s">
        <v>430</v>
      </c>
      <c r="B12" s="1217"/>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226" t="s">
        <v>406</v>
      </c>
      <c r="B13" s="1227"/>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224" t="s">
        <v>36</v>
      </c>
      <c r="B14" s="1225"/>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226</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18</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375</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377</v>
      </c>
    </row>
    <row r="18" spans="1:20" s="187" customFormat="1" ht="15.75" customHeight="1">
      <c r="A18" s="209">
        <v>2</v>
      </c>
      <c r="B18" s="77" t="s">
        <v>407</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378</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379</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380</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382</v>
      </c>
      <c r="AK21" s="187" t="s">
        <v>383</v>
      </c>
      <c r="AL21" s="187" t="s">
        <v>384</v>
      </c>
      <c r="AM21" s="208" t="s">
        <v>385</v>
      </c>
    </row>
    <row r="22" spans="1:39" s="187" customFormat="1" ht="15.75" customHeight="1">
      <c r="A22" s="209">
        <v>6</v>
      </c>
      <c r="B22" s="77" t="s">
        <v>381</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387</v>
      </c>
    </row>
    <row r="23" spans="1:20" s="187" customFormat="1" ht="15.75" customHeight="1">
      <c r="A23" s="209">
        <v>7</v>
      </c>
      <c r="B23" s="77" t="s">
        <v>386</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388</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382</v>
      </c>
    </row>
    <row r="25" spans="1:36" s="187" customFormat="1" ht="15.75" customHeight="1">
      <c r="A25" s="209">
        <v>9</v>
      </c>
      <c r="B25" s="77" t="s">
        <v>389</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391</v>
      </c>
    </row>
    <row r="26" spans="1:44" s="187" customFormat="1" ht="15.75" customHeight="1">
      <c r="A26" s="209">
        <v>10</v>
      </c>
      <c r="B26" s="77" t="s">
        <v>390</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392</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394</v>
      </c>
      <c r="AI28" s="199">
        <f>82/88</f>
        <v>0.9318181818181818</v>
      </c>
    </row>
    <row r="29" spans="1:20" ht="15.75" customHeight="1">
      <c r="A29" s="189"/>
      <c r="B29" s="1126" t="s">
        <v>393</v>
      </c>
      <c r="C29" s="1126"/>
      <c r="D29" s="1126"/>
      <c r="E29" s="1126"/>
      <c r="F29" s="1126"/>
      <c r="G29" s="1126"/>
      <c r="H29" s="190"/>
      <c r="I29" s="190"/>
      <c r="J29" s="191"/>
      <c r="K29" s="190"/>
      <c r="L29" s="1131" t="s">
        <v>393</v>
      </c>
      <c r="M29" s="1131"/>
      <c r="N29" s="1131"/>
      <c r="O29" s="1131"/>
      <c r="P29" s="1131"/>
      <c r="Q29" s="1131"/>
      <c r="R29" s="1131"/>
      <c r="S29" s="1131"/>
      <c r="T29" s="1131"/>
    </row>
    <row r="30" spans="1:20" ht="15" customHeight="1">
      <c r="A30" s="189"/>
      <c r="B30" s="1116" t="s">
        <v>42</v>
      </c>
      <c r="C30" s="1116"/>
      <c r="D30" s="1116"/>
      <c r="E30" s="1116"/>
      <c r="F30" s="1116"/>
      <c r="G30" s="1116"/>
      <c r="H30" s="192"/>
      <c r="I30" s="192"/>
      <c r="J30" s="192"/>
      <c r="K30" s="192"/>
      <c r="L30" s="1119" t="s">
        <v>349</v>
      </c>
      <c r="M30" s="1119"/>
      <c r="N30" s="1119"/>
      <c r="O30" s="1119"/>
      <c r="P30" s="1119"/>
      <c r="Q30" s="1119"/>
      <c r="R30" s="1119"/>
      <c r="S30" s="1119"/>
      <c r="T30" s="1119"/>
    </row>
    <row r="31" spans="1:20" s="329" customFormat="1" ht="18.75">
      <c r="A31" s="327"/>
      <c r="B31" s="1113"/>
      <c r="C31" s="1113"/>
      <c r="D31" s="1113"/>
      <c r="E31" s="1113"/>
      <c r="F31" s="1113"/>
      <c r="G31" s="328"/>
      <c r="H31" s="328"/>
      <c r="I31" s="328"/>
      <c r="J31" s="328"/>
      <c r="K31" s="328"/>
      <c r="L31" s="1114"/>
      <c r="M31" s="1114"/>
      <c r="N31" s="1114"/>
      <c r="O31" s="1114"/>
      <c r="P31" s="1114"/>
      <c r="Q31" s="1114"/>
      <c r="R31" s="1114"/>
      <c r="S31" s="1114"/>
      <c r="T31" s="1114"/>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213" t="s">
        <v>397</v>
      </c>
      <c r="C33" s="1213"/>
      <c r="D33" s="1213"/>
      <c r="E33" s="1213"/>
      <c r="F33" s="1213"/>
      <c r="G33" s="330"/>
      <c r="H33" s="330"/>
      <c r="I33" s="330"/>
      <c r="J33" s="330"/>
      <c r="K33" s="330"/>
      <c r="L33" s="330"/>
      <c r="M33" s="330"/>
      <c r="N33" s="330"/>
      <c r="O33" s="1213" t="s">
        <v>397</v>
      </c>
      <c r="P33" s="1213"/>
      <c r="Q33" s="1213"/>
      <c r="R33" s="328"/>
      <c r="S33" s="328"/>
      <c r="T33" s="328"/>
    </row>
    <row r="34" spans="1:20" s="193" customFormat="1" ht="18.75" hidden="1">
      <c r="A34" s="244" t="s">
        <v>46</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308</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309</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321</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1015" t="s">
        <v>350</v>
      </c>
      <c r="C39" s="1015"/>
      <c r="D39" s="1015"/>
      <c r="E39" s="1015"/>
      <c r="F39" s="1015"/>
      <c r="G39" s="1015"/>
      <c r="H39" s="191"/>
      <c r="I39" s="191"/>
      <c r="J39" s="191"/>
      <c r="K39" s="191"/>
      <c r="L39" s="1016" t="s">
        <v>351</v>
      </c>
      <c r="M39" s="1016"/>
      <c r="N39" s="1016"/>
      <c r="O39" s="1016"/>
      <c r="P39" s="1016"/>
      <c r="Q39" s="1016"/>
      <c r="R39" s="1016"/>
      <c r="S39" s="1016"/>
      <c r="T39" s="1016"/>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A3:D3"/>
    <mergeCell ref="F9:F10"/>
    <mergeCell ref="F5:O5"/>
    <mergeCell ref="C6:D6"/>
    <mergeCell ref="O9:P9"/>
    <mergeCell ref="E6:T6"/>
    <mergeCell ref="A1:D1"/>
    <mergeCell ref="Q9:R9"/>
    <mergeCell ref="M9:M10"/>
    <mergeCell ref="F1:O4"/>
    <mergeCell ref="D7:D10"/>
    <mergeCell ref="C7:C10"/>
    <mergeCell ref="A2:D2"/>
    <mergeCell ref="E7:L7"/>
    <mergeCell ref="E9:E10"/>
    <mergeCell ref="M8:N8"/>
    <mergeCell ref="L39:T39"/>
    <mergeCell ref="N9:N10"/>
    <mergeCell ref="B39:G39"/>
    <mergeCell ref="A13:B13"/>
    <mergeCell ref="B33:F33"/>
    <mergeCell ref="A11:B11"/>
    <mergeCell ref="B30:G30"/>
    <mergeCell ref="K9:L9"/>
    <mergeCell ref="L29:T29"/>
    <mergeCell ref="I9:J9"/>
    <mergeCell ref="E8:F8"/>
    <mergeCell ref="A12:B12"/>
    <mergeCell ref="O8:T8"/>
    <mergeCell ref="A6:B10"/>
    <mergeCell ref="G8:L8"/>
    <mergeCell ref="A4:D4"/>
    <mergeCell ref="G9:H9"/>
    <mergeCell ref="M7:T7"/>
    <mergeCell ref="O33:Q33"/>
    <mergeCell ref="L31:T31"/>
    <mergeCell ref="L30:T30"/>
    <mergeCell ref="S9:T9"/>
    <mergeCell ref="B31:F31"/>
    <mergeCell ref="B29:G29"/>
    <mergeCell ref="A14:B14"/>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cp:lastModifiedBy>
  <cp:lastPrinted>2018-01-08T16:36:09Z</cp:lastPrinted>
  <dcterms:created xsi:type="dcterms:W3CDTF">2004-03-07T02:36:29Z</dcterms:created>
  <dcterms:modified xsi:type="dcterms:W3CDTF">2018-01-08T04:30:05Z</dcterms:modified>
  <cp:category/>
  <cp:version/>
  <cp:contentType/>
  <cp:contentStatus/>
</cp:coreProperties>
</file>